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7bBk6KM16MO5pWLcMZJyMgvYOeXhmro+VpBstDP1EMoamVH2uoHhMTfvKGO5bKAxsC9c4nkCCc7Xry9CqoMXCQ==" workbookSaltValue="7aX32wajzQH7H1SySbXNS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F17" i="8"/>
  <c r="B13" i="7"/>
  <c r="EL19" i="8"/>
  <c r="AP12" i="11"/>
  <c r="EN19" i="8"/>
  <c r="F12" i="21"/>
  <c r="G10" i="3"/>
  <c r="BA13" i="16"/>
  <c r="AP10" i="11"/>
  <c r="T10" i="21"/>
  <c r="ES19" i="8"/>
  <c r="G18" i="12"/>
  <c r="BM19" i="8"/>
  <c r="AL13" i="16"/>
  <c r="S13" i="16"/>
  <c r="P13" i="16"/>
  <c r="AM13" i="20"/>
  <c r="Z13" i="17"/>
  <c r="H13" i="12"/>
  <c r="BG10" i="8"/>
  <c r="BD15" i="8"/>
  <c r="BD9" i="8"/>
  <c r="BA13" i="8"/>
  <c r="I19" i="8"/>
  <c r="E13" i="17"/>
  <c r="T13" i="20"/>
  <c r="T13" i="16"/>
  <c r="AP13" i="16"/>
  <c r="BG15" i="13"/>
  <c r="BE16" i="13"/>
  <c r="F20" i="20"/>
  <c r="AE20" i="20"/>
  <c r="L20" i="20"/>
  <c r="AP20" i="20"/>
  <c r="AF20" i="20"/>
  <c r="O20" i="20"/>
  <c r="Q20" i="20"/>
  <c r="O16" i="11"/>
  <c r="G18" i="14"/>
  <c r="AB20" i="20"/>
  <c r="P20" i="20"/>
  <c r="W20" i="21"/>
  <c r="R20" i="20"/>
  <c r="O10" i="11"/>
  <c r="J20" i="20"/>
  <c r="M20" i="20"/>
  <c r="AH20" i="20"/>
  <c r="T20" i="21"/>
  <c r="I20" i="20"/>
  <c r="AJ20" i="20"/>
  <c r="W20" i="20"/>
  <c r="AO20" i="20"/>
  <c r="AU20" i="20"/>
  <c r="Y20" i="20"/>
  <c r="AV20" i="20"/>
  <c r="AQ20" i="20"/>
  <c r="AG20" i="20"/>
  <c r="AQ20" i="21"/>
  <c r="Z20" i="20"/>
  <c r="AM20" i="20"/>
  <c r="AK20" i="20"/>
  <c r="E20" i="20"/>
  <c r="BM18" i="16" l="1"/>
  <c r="AV18" i="21"/>
  <c r="E18" i="12"/>
  <c r="BD17" i="8"/>
  <c r="AW18" i="21"/>
  <c r="C18" i="7"/>
  <c r="G12" i="12"/>
  <c r="AC10" i="11"/>
  <c r="F13" i="7"/>
  <c r="E9" i="6"/>
  <c r="AO17" i="11"/>
  <c r="J10" i="2"/>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J12" i="12" l="1"/>
  <c r="I15" i="12"/>
  <c r="AM11" i="11"/>
  <c r="AZ15" i="11"/>
  <c r="AZ18" i="11" s="1"/>
  <c r="S11" i="17"/>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18" i="11" l="1"/>
  <c r="AL19" i="2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<sst xmlns="http://schemas.openxmlformats.org/spreadsheetml/2006/main" count="2094" uniqueCount="913">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</sst>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fEdbPQRoa+8YCQz/6ofcftEOPjp5B13f3ejcJGxbL1TlET8czL+5N35+HXzzskAEanL++8kzylpS0MgnERDsQ==" saltValue="YgRBXQd6dJmRp8ZFPCGA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0</v>
      </c>
      <c r="F10" s="230">
        <f>IF(ISNUMBER(Datos!K10),Datos!K10," - ")</f>
        <v>3</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-0.42857142857142855</v>
      </c>
      <c r="L10" s="1201">
        <f>IF(ISNUMBER(NºAsuntos!I10/NºAsuntos!G10),(NºAsuntos!I10/NºAsuntos!G10)*11," - ")</f>
        <v>14.666666666666666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26.574766355140184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0</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854</v>
      </c>
      <c r="D16" s="229">
        <f>IF(ISNUMBER(IF(D_I="SI",Datos!I16,Datos!I16+Datos!AC16)),IF(D_I="SI",Datos!I16,Datos!I16+Datos!AC16)," - ")</f>
        <v>854</v>
      </c>
      <c r="E16" s="230">
        <f>IF(ISNUMBER(IF(D_I="SI",Datos!J16,Datos!J16+Datos!AD16)),IF(D_I="SI",Datos!J16,Datos!J16+Datos!AD16)," - ")</f>
        <v>765</v>
      </c>
      <c r="F16" s="230">
        <f>IF(ISNUMBER(IF(D_I="SI",Datos!K16,Datos!K16+Datos!AE16)),IF(D_I="SI",Datos!K16,Datos!K16+Datos!AE16)," - ")</f>
        <v>647</v>
      </c>
      <c r="G16" s="1189" t="str">
        <f>IF(Datos!E16&lt;&gt;"",Datos!E16,Datos!D16)</f>
        <v>04</v>
      </c>
      <c r="H16" s="231">
        <f>IF(ISNUMBER(IF(D_I="SI",Datos!L16,Datos!L16+Datos!AF16)),IF(D_I="SI",Datos!L16,Datos!L16+Datos!AF16)," - ")</f>
        <v>972</v>
      </c>
      <c r="I16" s="1199" t="str">
        <f>IF(ISNUMBER(Datos!AS16/Datos!BM16),Datos!AS16/Datos!BM16," - ")</f>
        <v xml:space="preserve"> - </v>
      </c>
      <c r="J16" s="1200">
        <f>IF(ISNUMBER(Datos!BY16/Datos!CN16),Datos!BY16/Datos!CN16," - ")</f>
        <v>0</v>
      </c>
      <c r="K16" s="234">
        <f t="shared" si="3"/>
        <v>0.13817330210772832</v>
      </c>
      <c r="L16" s="1201">
        <f>IF(ISNUMBER(NºAsuntos!I16/NºAsuntos!G16),(NºAsuntos!I16/NºAsuntos!G16)*11," - ")</f>
        <v>16.525502318392579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51</v>
      </c>
      <c r="E17" s="230">
        <f>IF(ISNUMBER(IF(D_I="SI",Datos!J17,Datos!J17+Datos!AD17)),IF(D_I="SI",Datos!J17,Datos!J17+Datos!AD17)," - ")</f>
        <v>0</v>
      </c>
      <c r="F17" s="230">
        <f>IF(ISNUMBER(IF(D_I="SI",Datos!K17,Datos!K17+Datos!AE17)),IF(D_I="SI",Datos!K17,Datos!K17+Datos!AE17)," - ")</f>
        <v>1</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-1.9607843137254902E-2</v>
      </c>
      <c r="L17" s="1201">
        <f>IF(ISNUMBER(NºAsuntos!I17/NºAsuntos!G17),(NºAsuntos!I17/NºAsuntos!G17)*11," - ")</f>
        <v>550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905</v>
      </c>
      <c r="D18" s="1206">
        <f>SUBTOTAL(9,D15:D17)</f>
        <v>905</v>
      </c>
      <c r="E18" s="1207">
        <f>SUBTOTAL(9,E15:E17)</f>
        <v>765</v>
      </c>
      <c r="F18" s="1207">
        <f>SUBTOTAL(9,F15:F17)</f>
        <v>648</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912</v>
      </c>
      <c r="D19" s="1228">
        <f>SUBTOTAL(9,D9:D18)</f>
        <v>912</v>
      </c>
      <c r="E19" s="1229">
        <f>SUBTOTAL(9,E9:E18)</f>
        <v>765</v>
      </c>
      <c r="F19" s="1229">
        <f>SUBTOTAL(9,F9:F18)</f>
        <v>651</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y194myc1mUKP0ED9gcPV1oxynQAph5AEo3D78DSbmkmfXFlqk84kLYgObCRdptOkMZQjNDgs9AE7brTTD8zYg==" saltValue="A3ZqYqvtUo2XNyN+l5nl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wZh0Dvti/OWyRQEtNlyRigPUO2ggmeRxQzwgBoZn9orZOdrqmeHeGb7kxh0QyCaCVONt+wu1okMm/pwNbnqFg==" saltValue="THXxwk5GoufGTl9Zf6dx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0</v>
      </c>
      <c r="K10" s="185">
        <v>3</v>
      </c>
      <c r="L10" s="185">
        <v>4</v>
      </c>
      <c r="M10" s="185">
        <v>0</v>
      </c>
      <c r="N10" s="185">
        <v>0</v>
      </c>
      <c r="O10" s="185">
        <v>0</v>
      </c>
      <c r="P10" s="185">
        <v>0</v>
      </c>
      <c r="Q10" s="185">
        <v>0</v>
      </c>
      <c r="R10" s="185">
        <v>1</v>
      </c>
      <c r="S10" s="185">
        <v>5</v>
      </c>
      <c r="T10" s="185">
        <v>3</v>
      </c>
      <c r="U10" s="185">
        <v>0</v>
      </c>
      <c r="V10" s="185">
        <v>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3</v>
      </c>
      <c r="BA10" s="130">
        <f t="shared" si="0"/>
        <v>0</v>
      </c>
      <c r="BB10" s="130">
        <f t="shared" si="0"/>
        <v>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1220</v>
      </c>
      <c r="J12" s="187">
        <v>841</v>
      </c>
      <c r="K12" s="187">
        <v>602</v>
      </c>
      <c r="L12" s="187">
        <v>1459</v>
      </c>
      <c r="M12" s="187">
        <v>113</v>
      </c>
      <c r="N12" s="187">
        <v>315</v>
      </c>
      <c r="O12" s="185">
        <v>266</v>
      </c>
      <c r="P12" s="187">
        <v>156</v>
      </c>
      <c r="Q12" s="187">
        <v>90</v>
      </c>
      <c r="R12" s="187">
        <v>3436</v>
      </c>
      <c r="S12" s="187">
        <v>1349</v>
      </c>
      <c r="T12" s="187">
        <v>618</v>
      </c>
      <c r="U12" s="187">
        <v>662</v>
      </c>
      <c r="V12" s="187">
        <v>1305</v>
      </c>
      <c r="W12" s="187">
        <v>121</v>
      </c>
      <c r="X12" s="193">
        <v>278</v>
      </c>
      <c r="Y12" s="195">
        <v>96</v>
      </c>
      <c r="Z12" s="185">
        <v>36</v>
      </c>
      <c r="AA12" s="185">
        <v>40</v>
      </c>
      <c r="AB12" s="185">
        <v>92</v>
      </c>
      <c r="AC12" s="187">
        <v>0</v>
      </c>
      <c r="AD12" s="187">
        <v>0</v>
      </c>
      <c r="AE12" s="187">
        <v>0</v>
      </c>
      <c r="AF12" s="193">
        <v>0</v>
      </c>
      <c r="AG12" s="206">
        <v>126</v>
      </c>
      <c r="AH12" s="187">
        <v>79</v>
      </c>
      <c r="AI12" s="187">
        <v>68</v>
      </c>
      <c r="AJ12" s="207">
        <v>137</v>
      </c>
      <c r="AK12" s="186">
        <v>0</v>
      </c>
      <c r="AL12" s="187">
        <v>0</v>
      </c>
      <c r="AM12" s="187">
        <v>0</v>
      </c>
      <c r="AN12" s="193">
        <v>0</v>
      </c>
      <c r="AO12" s="263">
        <v>3</v>
      </c>
      <c r="AP12" s="159">
        <v>3</v>
      </c>
      <c r="AQ12" s="159">
        <v>3</v>
      </c>
      <c r="AR12" s="158">
        <v>3</v>
      </c>
      <c r="AS12" s="349" t="s">
        <v>811</v>
      </c>
      <c r="AT12" s="207"/>
      <c r="AU12" s="206"/>
      <c r="AV12" s="207"/>
      <c r="AW12" s="206"/>
      <c r="AX12" s="207"/>
      <c r="AY12" s="127">
        <f t="shared" si="1"/>
        <v>1475</v>
      </c>
      <c r="AZ12" s="128">
        <f t="shared" si="1"/>
        <v>697</v>
      </c>
      <c r="BA12" s="128">
        <f t="shared" si="1"/>
        <v>730</v>
      </c>
      <c r="BB12" s="128">
        <f t="shared" si="1"/>
        <v>1442</v>
      </c>
      <c r="BC12" s="126">
        <f>IF(ISNUMBER(X12),X12," - ")</f>
        <v>278</v>
      </c>
      <c r="BD12" s="127">
        <f t="shared" si="2"/>
        <v>1.0473457675753228</v>
      </c>
      <c r="BE12" s="128">
        <f t="shared" si="3"/>
        <v>1.9753424657534246</v>
      </c>
      <c r="BF12" s="128">
        <f t="shared" si="4"/>
        <v>0.38082191780821917</v>
      </c>
      <c r="BG12" s="200">
        <f t="shared" si="5"/>
        <v>2.9753424657534246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1227</v>
      </c>
      <c r="J13" s="188">
        <f t="shared" si="6"/>
        <v>841</v>
      </c>
      <c r="K13" s="188">
        <f t="shared" si="6"/>
        <v>605</v>
      </c>
      <c r="L13" s="188">
        <f t="shared" si="6"/>
        <v>1463</v>
      </c>
      <c r="M13" s="188">
        <f t="shared" si="6"/>
        <v>113</v>
      </c>
      <c r="N13" s="188">
        <f t="shared" si="6"/>
        <v>315</v>
      </c>
      <c r="O13" s="188">
        <f t="shared" si="6"/>
        <v>266</v>
      </c>
      <c r="P13" s="188">
        <f t="shared" si="6"/>
        <v>156</v>
      </c>
      <c r="Q13" s="188">
        <f t="shared" si="6"/>
        <v>90</v>
      </c>
      <c r="R13" s="188">
        <f t="shared" si="6"/>
        <v>3437</v>
      </c>
      <c r="S13" s="188">
        <f t="shared" si="6"/>
        <v>1354</v>
      </c>
      <c r="T13" s="188">
        <f t="shared" si="6"/>
        <v>621</v>
      </c>
      <c r="U13" s="188">
        <f t="shared" si="6"/>
        <v>662</v>
      </c>
      <c r="V13" s="188">
        <f t="shared" si="6"/>
        <v>1313</v>
      </c>
      <c r="W13" s="188">
        <f t="shared" si="6"/>
        <v>121</v>
      </c>
      <c r="X13" s="188">
        <f t="shared" si="6"/>
        <v>278</v>
      </c>
      <c r="Y13" s="188">
        <f t="shared" si="6"/>
        <v>96</v>
      </c>
      <c r="Z13" s="188">
        <f t="shared" si="6"/>
        <v>36</v>
      </c>
      <c r="AA13" s="188">
        <f t="shared" si="6"/>
        <v>40</v>
      </c>
      <c r="AB13" s="188">
        <f t="shared" si="6"/>
        <v>92</v>
      </c>
      <c r="AC13" s="188">
        <f t="shared" si="6"/>
        <v>0</v>
      </c>
      <c r="AD13" s="188">
        <f t="shared" si="6"/>
        <v>0</v>
      </c>
      <c r="AE13" s="188">
        <f t="shared" si="6"/>
        <v>0</v>
      </c>
      <c r="AF13" s="188">
        <f>SUBTOTAL(9,AF9:AF12)</f>
        <v>0</v>
      </c>
      <c r="AG13" s="188">
        <f t="shared" ref="AG13:AT13" si="7">SUBTOTAL(9,AG8:AG12)</f>
        <v>126</v>
      </c>
      <c r="AH13" s="188">
        <f t="shared" si="7"/>
        <v>79</v>
      </c>
      <c r="AI13" s="188">
        <f t="shared" si="7"/>
        <v>68</v>
      </c>
      <c r="AJ13" s="188">
        <f t="shared" si="7"/>
        <v>137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1480</v>
      </c>
      <c r="AZ13" s="188">
        <f>SUBTOTAL(9,AZ8:AZ12)</f>
        <v>700</v>
      </c>
      <c r="BA13" s="188">
        <f>SUBTOTAL(9,BA8:BA12)</f>
        <v>730</v>
      </c>
      <c r="BB13" s="188">
        <f>SUBTOTAL(9,BB8:BB12)</f>
        <v>1450</v>
      </c>
      <c r="BC13" s="188">
        <f>SUBTOTAL(9,BC8:BC12)</f>
        <v>278</v>
      </c>
      <c r="BD13" s="209">
        <f>IF(ISNUMBER(BA13/AZ13),BA13/AZ13," - ")</f>
        <v>1.0428571428571429</v>
      </c>
      <c r="BE13" s="210">
        <f>IF(ISNUMBER(BB13/BA13),BB13/BA13, " - ")</f>
        <v>1.9863013698630136</v>
      </c>
      <c r="BF13" s="210">
        <f>IF(ISNUMBER(BC13/BA13),BC13/BA13, " - ")</f>
        <v>0.38082191780821917</v>
      </c>
      <c r="BG13" s="211">
        <f>IF(ISNUMBER((AY13+AZ13)/BA13),(AY13+AZ13)/BA13," - ")</f>
        <v>2.9863013698630136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854</v>
      </c>
      <c r="J16" s="187">
        <v>765</v>
      </c>
      <c r="K16" s="187">
        <v>647</v>
      </c>
      <c r="L16" s="187">
        <v>972</v>
      </c>
      <c r="M16" s="187">
        <v>104</v>
      </c>
      <c r="N16" s="187">
        <v>362</v>
      </c>
      <c r="O16" s="185">
        <v>14</v>
      </c>
      <c r="P16" s="187">
        <v>71</v>
      </c>
      <c r="Q16" s="187">
        <v>16</v>
      </c>
      <c r="R16" s="187">
        <v>241</v>
      </c>
      <c r="S16" s="187">
        <v>910</v>
      </c>
      <c r="T16" s="187">
        <v>700</v>
      </c>
      <c r="U16" s="187">
        <v>596</v>
      </c>
      <c r="V16" s="187">
        <v>1014</v>
      </c>
      <c r="W16" s="187">
        <v>86</v>
      </c>
      <c r="X16" s="193">
        <v>330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910</v>
      </c>
      <c r="AZ16" s="128">
        <f t="shared" si="9"/>
        <v>700</v>
      </c>
      <c r="BA16" s="128">
        <f t="shared" si="9"/>
        <v>596</v>
      </c>
      <c r="BB16" s="128">
        <f t="shared" si="9"/>
        <v>1014</v>
      </c>
      <c r="BC16" s="126">
        <f>IF(ISNUMBER(W16),W16," - ")</f>
        <v>86</v>
      </c>
      <c r="BD16" s="127">
        <f t="shared" ref="BD16" si="11">IF(ISNUMBER(BA16/AZ16),BA16/AZ16," - ")</f>
        <v>0.85142857142857142</v>
      </c>
      <c r="BE16" s="128">
        <f t="shared" ref="BE16" si="12">IF(ISNUMBER(BB16/BA16),BB16/BA16, " - ")</f>
        <v>1.7013422818791946</v>
      </c>
      <c r="BF16" s="128">
        <f t="shared" ref="BF16" si="13">IF(ISNUMBER(BC16/BA16),BC16/BA16, " - ")</f>
        <v>0.14429530201342283</v>
      </c>
      <c r="BG16" s="200">
        <f t="shared" si="10"/>
        <v>2.7013422818791946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51</v>
      </c>
      <c r="J17" s="187">
        <v>0</v>
      </c>
      <c r="K17" s="187">
        <v>1</v>
      </c>
      <c r="L17" s="187">
        <v>50</v>
      </c>
      <c r="M17" s="187">
        <v>0</v>
      </c>
      <c r="N17" s="187">
        <v>1</v>
      </c>
      <c r="O17" s="187">
        <v>0</v>
      </c>
      <c r="P17" s="187">
        <v>0</v>
      </c>
      <c r="Q17" s="187">
        <v>0</v>
      </c>
      <c r="R17" s="187">
        <v>0</v>
      </c>
      <c r="S17" s="187">
        <v>58</v>
      </c>
      <c r="T17" s="187">
        <v>57</v>
      </c>
      <c r="U17" s="187">
        <v>44</v>
      </c>
      <c r="V17" s="187">
        <v>71</v>
      </c>
      <c r="W17" s="187">
        <v>8</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57</v>
      </c>
      <c r="BA17" s="130">
        <f t="shared" si="14"/>
        <v>44</v>
      </c>
      <c r="BB17" s="130">
        <f t="shared" si="14"/>
        <v>71</v>
      </c>
      <c r="BC17" s="126">
        <f>IF(ISNUMBER(W17),W17," - ")</f>
        <v>8</v>
      </c>
      <c r="BD17" s="127">
        <f>IF(ISNUMBER(BA17/AZ17),BA17/AZ17," - ")</f>
        <v>0.77192982456140347</v>
      </c>
      <c r="BE17" s="128">
        <f>IF(ISNUMBER(BB17/BA17),BB17/BA17, " - ")</f>
        <v>1.6136363636363635</v>
      </c>
      <c r="BF17" s="128">
        <f>IF(ISNUMBER(BC17/BA17),BC17/BA17, " - ")</f>
        <v>0.18181818181818182</v>
      </c>
      <c r="BG17" s="200">
        <f>IF(ISNUMBER((AY17+AZ17)/BA17),(AY17+AZ17)/BA17," - ")</f>
        <v>2.6136363636363638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905</v>
      </c>
      <c r="J18" s="188">
        <f t="shared" si="15"/>
        <v>765</v>
      </c>
      <c r="K18" s="188">
        <f t="shared" si="15"/>
        <v>648</v>
      </c>
      <c r="L18" s="188">
        <f t="shared" si="15"/>
        <v>1022</v>
      </c>
      <c r="M18" s="188">
        <f t="shared" si="15"/>
        <v>104</v>
      </c>
      <c r="N18" s="188">
        <f t="shared" si="15"/>
        <v>363</v>
      </c>
      <c r="O18" s="188">
        <f t="shared" si="15"/>
        <v>14</v>
      </c>
      <c r="P18" s="188">
        <f t="shared" si="15"/>
        <v>71</v>
      </c>
      <c r="Q18" s="188">
        <f t="shared" si="15"/>
        <v>16</v>
      </c>
      <c r="R18" s="188">
        <f t="shared" si="15"/>
        <v>241</v>
      </c>
      <c r="S18" s="188">
        <f t="shared" si="15"/>
        <v>968</v>
      </c>
      <c r="T18" s="188">
        <f t="shared" si="15"/>
        <v>757</v>
      </c>
      <c r="U18" s="188">
        <f t="shared" si="15"/>
        <v>640</v>
      </c>
      <c r="V18" s="188">
        <f t="shared" si="15"/>
        <v>1085</v>
      </c>
      <c r="W18" s="188">
        <f t="shared" si="15"/>
        <v>94</v>
      </c>
      <c r="X18" s="188">
        <f t="shared" si="15"/>
        <v>355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968</v>
      </c>
      <c r="AZ18" s="188">
        <f>SUBTOTAL(9,AZ14:AZ17)</f>
        <v>757</v>
      </c>
      <c r="BA18" s="188">
        <f>SUBTOTAL(9,BA14:BA17)</f>
        <v>640</v>
      </c>
      <c r="BB18" s="188">
        <f>SUBTOTAL(9,BB14:BB17)</f>
        <v>1085</v>
      </c>
      <c r="BC18" s="188">
        <f>SUBTOTAL(9,BC14:BC17)</f>
        <v>94</v>
      </c>
      <c r="BD18" s="209">
        <f>IF(ISNUMBER(BA18/AZ18),BA18/AZ18," - ")</f>
        <v>0.84544253632760902</v>
      </c>
      <c r="BE18" s="210">
        <f>IF(ISNUMBER(BB18/BA18),BB18/BA18, " - ")</f>
        <v>1.6953125</v>
      </c>
      <c r="BF18" s="210">
        <f>IF(ISNUMBER(BC18/BA18),BC18/BA18, " - ")</f>
        <v>0.14687500000000001</v>
      </c>
      <c r="BG18" s="211">
        <f>IF(ISNUMBER((AY18+AZ18)/BA18),(AY18+AZ18)/BA18," - ")</f>
        <v>2.6953125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2132</v>
      </c>
      <c r="J19" s="135">
        <f t="shared" si="18"/>
        <v>1606</v>
      </c>
      <c r="K19" s="135">
        <f t="shared" si="18"/>
        <v>1253</v>
      </c>
      <c r="L19" s="135">
        <f t="shared" si="18"/>
        <v>2485</v>
      </c>
      <c r="M19" s="135">
        <f t="shared" si="18"/>
        <v>217</v>
      </c>
      <c r="N19" s="135">
        <f t="shared" si="18"/>
        <v>678</v>
      </c>
      <c r="O19" s="135">
        <f t="shared" si="18"/>
        <v>280</v>
      </c>
      <c r="P19" s="135">
        <f t="shared" si="18"/>
        <v>227</v>
      </c>
      <c r="Q19" s="135">
        <f t="shared" si="18"/>
        <v>106</v>
      </c>
      <c r="R19" s="135">
        <f t="shared" si="18"/>
        <v>3678</v>
      </c>
      <c r="S19" s="135">
        <f t="shared" si="18"/>
        <v>2322</v>
      </c>
      <c r="T19" s="135">
        <f t="shared" si="18"/>
        <v>1378</v>
      </c>
      <c r="U19" s="135">
        <f t="shared" si="18"/>
        <v>1302</v>
      </c>
      <c r="V19" s="135">
        <f t="shared" si="18"/>
        <v>2398</v>
      </c>
      <c r="W19" s="135">
        <f t="shared" si="18"/>
        <v>215</v>
      </c>
      <c r="X19" s="135">
        <f t="shared" si="18"/>
        <v>633</v>
      </c>
      <c r="Y19" s="135">
        <f t="shared" si="18"/>
        <v>96</v>
      </c>
      <c r="Z19" s="135">
        <f t="shared" si="18"/>
        <v>36</v>
      </c>
      <c r="AA19" s="135">
        <f t="shared" si="18"/>
        <v>40</v>
      </c>
      <c r="AB19" s="135">
        <f t="shared" si="18"/>
        <v>92</v>
      </c>
      <c r="AC19" s="135">
        <f t="shared" si="18"/>
        <v>0</v>
      </c>
      <c r="AD19" s="135">
        <f t="shared" si="18"/>
        <v>0</v>
      </c>
      <c r="AE19" s="135">
        <f t="shared" si="18"/>
        <v>0</v>
      </c>
      <c r="AF19" s="135">
        <f t="shared" si="18"/>
        <v>0</v>
      </c>
      <c r="AG19" s="135">
        <f t="shared" si="18"/>
        <v>126</v>
      </c>
      <c r="AH19" s="135">
        <f t="shared" si="18"/>
        <v>79</v>
      </c>
      <c r="AI19" s="135">
        <f t="shared" si="18"/>
        <v>68</v>
      </c>
      <c r="AJ19" s="135">
        <f t="shared" si="18"/>
        <v>137</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2448</v>
      </c>
      <c r="AZ19" s="135">
        <f>SUBTOTAL(9,AZ9:AZ18)</f>
        <v>1457</v>
      </c>
      <c r="BA19" s="135">
        <f>SUBTOTAL(9,BA9:BA18)</f>
        <v>1370</v>
      </c>
      <c r="BB19" s="135">
        <f>SUBTOTAL(9,BB9:BB18)</f>
        <v>2535</v>
      </c>
      <c r="BC19" s="136">
        <f>SUBTOTAL(9,BC9:BC18)</f>
        <v>372</v>
      </c>
      <c r="BD19" s="217">
        <f>IF(ISNUMBER(BA19/AZ19),BA19/AZ19," - ")</f>
        <v>0.94028826355525053</v>
      </c>
      <c r="BE19" s="214">
        <f>IF(ISNUMBER(BB19/BA19),BB19/BA19, " - ")</f>
        <v>1.8503649635036497</v>
      </c>
      <c r="BF19" s="214">
        <f>IF(ISNUMBER(BC19/BA19),BC19/BA19, " - ")</f>
        <v>0.27153284671532846</v>
      </c>
      <c r="BG19" s="136">
        <f>IF(ISNUMBER((AY19+AZ19)/BA19),(AY19+AZ19)/BA19," - ")</f>
        <v>2.8503649635036497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aZpQUp+iDeZbMxosLXzXlI1sRV2qtMd1KxfFaK94sSx7sS07UTLfDM5N0mUbxRzoLyexebd+mXy5TAuHxRqgA==" saltValue="cKTUA7GXBs/IJqGTMTxU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4qUQCKxtlSIxLekVEy1XNVWqILdmik0H58I26YnFVflbNKX+T7tzzDfSAw5ZAR1DM4pv7/qnVuhDoIHr0V8KQ==" saltValue="JNbbeKCwKtai+HTKtSe0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PICASSENT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4</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2.6666666666666665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156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92</v>
      </c>
      <c r="AI12" s="503" t="str">
        <f>IF(ISNUMBER(Datos!CD12),Datos!CD12,"-")</f>
        <v>-</v>
      </c>
      <c r="AJ12" s="503" t="str">
        <f>IF(ISNUMBER(Datos!EN12),Datos!EN12," - ")</f>
        <v xml:space="preserve"> - </v>
      </c>
      <c r="AK12" s="503"/>
      <c r="AL12" s="504"/>
      <c r="AM12" s="671">
        <f>IF(ISNUMBER(Datos!R12),Datos!R12," - ")</f>
        <v>3436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113</v>
      </c>
      <c r="BD12" s="619">
        <f>IF(ISNUMBER(Datos!N12),Datos!N12," - ")</f>
        <v>315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0.73204104903078682</v>
      </c>
      <c r="BH12" s="669">
        <f>IF(ISNUMBER(((IF(J_V="SI",Datos!L12/Datos!K12,(Datos!L12+Datos!AB12)/(Datos!K12+Datos!AA12)))*11)/factor_trimestre),((IF(J_V="SI",Datos!L12/Datos!K12,(Datos!L12+Datos!AB12)/(Datos!K12+Datos!AA12)))*11)/factor_trimestre," - ")</f>
        <v>4.8317757009345792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1.9584569732937686E-2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156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90</v>
      </c>
      <c r="AD13" s="1045">
        <f t="shared" si="1"/>
        <v>0</v>
      </c>
      <c r="AE13" s="1045">
        <f t="shared" si="1"/>
        <v>0</v>
      </c>
      <c r="AF13" s="1045">
        <f t="shared" si="1"/>
        <v>4</v>
      </c>
      <c r="AG13" s="1045">
        <f t="shared" si="1"/>
        <v>0</v>
      </c>
      <c r="AH13" s="1045">
        <f t="shared" si="1"/>
        <v>92</v>
      </c>
      <c r="AI13" s="1045">
        <f t="shared" si="1"/>
        <v>0</v>
      </c>
      <c r="AJ13" s="1045">
        <f t="shared" si="1"/>
        <v>0</v>
      </c>
      <c r="AK13" s="1045">
        <f t="shared" si="1"/>
        <v>0</v>
      </c>
      <c r="AL13" s="1045">
        <f t="shared" si="1"/>
        <v>0</v>
      </c>
      <c r="AM13" s="1045">
        <f t="shared" si="1"/>
        <v>3437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113</v>
      </c>
      <c r="BD13" s="1045">
        <f t="shared" si="1"/>
        <v>315</v>
      </c>
      <c r="BE13" s="1045">
        <f t="shared" si="1"/>
        <v>0</v>
      </c>
      <c r="BF13" s="1045">
        <f t="shared" si="1"/>
        <v>0</v>
      </c>
      <c r="BG13" s="1045">
        <f>IF(ISNUMBER(Datos!K13/Datos!J13),Datos!K13/Datos!J13," - ")</f>
        <v>0.71938168846611172</v>
      </c>
      <c r="BH13" s="1049">
        <f>IF(ISNUMBER(((Datos!L13/Datos!K13)*11)/factor_trimestre),((Datos!L13/Datos!K13)*11)/factor_trimestre," - ")</f>
        <v>4.836363636363636</v>
      </c>
      <c r="BI13" s="1045">
        <f>IF(ISNUMBER('Resol  Asuntos'!D13/NºAsuntos!G13),'Resol  Asuntos'!D13/NºAsuntos!G13," - ")</f>
        <v>0.17519379844961241</v>
      </c>
      <c r="BJ13" s="1045" t="str">
        <f>IF(ISNUMBER(Datos!CI13/Datos!CJ13),Datos!CI13/Datos!CJ13," - ")</f>
        <v xml:space="preserve"> - </v>
      </c>
      <c r="BK13" s="1045">
        <f>SUBTOTAL(9,BK8:BK12)</f>
        <v>0</v>
      </c>
      <c r="BL13" s="1045">
        <f>IF(ISNUMBER((I13-AB13+L13)/(F13)),(I13-AB13+L13)/(F13)," - ")</f>
        <v>-0.42857142857142855</v>
      </c>
      <c r="BM13" s="1050">
        <f>SUBTOTAL(9,BM9:BM12)</f>
        <v>1.9584569732937686E-2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854</v>
      </c>
      <c r="G16" s="650">
        <f>IF(ISNUMBER(IF(D_I="SI",Datos!I16,Datos!I16+Datos!AC16)),IF(D_I="SI",Datos!I16,Datos!I16+Datos!AC16)," - ")</f>
        <v>854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647</v>
      </c>
      <c r="AC16" s="230">
        <f>IF(ISNUMBER(Datos!Q16),Datos!Q16," - ")</f>
        <v>16</v>
      </c>
      <c r="AD16" s="343"/>
      <c r="AE16" s="515"/>
      <c r="AF16" s="648">
        <f>IF(ISNUMBER(IF(D_I="SI",Datos!L16,Datos!L16+Datos!AF16)),IF(D_I="SI",Datos!L16,Datos!L16+Datos!AF16)," - ")</f>
        <v>972</v>
      </c>
      <c r="AG16" s="343"/>
      <c r="AH16" s="343"/>
      <c r="AI16" s="343"/>
      <c r="AJ16" s="503"/>
      <c r="AK16" s="343"/>
      <c r="AL16" s="499"/>
      <c r="AM16" s="344">
        <f>IF(ISNUMBER(Datos!R16),Datos!R16," - ")</f>
        <v>241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104</v>
      </c>
      <c r="BD16" s="233">
        <f>IF(ISNUMBER(Datos!N16),Datos!N16," - ")</f>
        <v>362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0.8457516339869281</v>
      </c>
      <c r="BH16" s="669">
        <f>IF(ISNUMBER(((IF(D_I="SI",Datos!L16/Datos!K16,(Datos!L16+Datos!AF16)/(Datos!K16+Datos!AE16)))*11)/factor_trimestre),((IF(D_I="SI",Datos!L16/Datos!K16,(Datos!L16+Datos!AF16)/(Datos!K16+Datos!AE16)))*11)/factor_trimestre," - ")</f>
        <v>3.0046367851622873</v>
      </c>
      <c r="BI16" s="247">
        <f>IF(ISNUMBER('Resol  Asuntos'!D16/NºAsuntos!G16),'Resol  Asuntos'!D16/NºAsuntos!G16," - ")</f>
        <v>0.160741885625966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50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100</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854</v>
      </c>
      <c r="G18" s="1044">
        <f>SUBTOTAL(9,G15:G17)</f>
        <v>905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648</v>
      </c>
      <c r="AC18" s="1045">
        <f t="shared" si="4"/>
        <v>16</v>
      </c>
      <c r="AD18" s="1045">
        <f t="shared" si="4"/>
        <v>0</v>
      </c>
      <c r="AE18" s="1045">
        <f t="shared" si="4"/>
        <v>0</v>
      </c>
      <c r="AF18" s="1045">
        <f t="shared" si="4"/>
        <v>1022</v>
      </c>
      <c r="AG18" s="1045">
        <f t="shared" si="4"/>
        <v>0</v>
      </c>
      <c r="AH18" s="1045">
        <f t="shared" si="4"/>
        <v>0</v>
      </c>
      <c r="AI18" s="1045">
        <f t="shared" si="4"/>
        <v>0</v>
      </c>
      <c r="AJ18" s="1045">
        <f t="shared" si="4"/>
        <v>0</v>
      </c>
      <c r="AK18" s="1045">
        <f t="shared" si="4"/>
        <v>0</v>
      </c>
      <c r="AL18" s="1045">
        <f t="shared" si="4"/>
        <v>0</v>
      </c>
      <c r="AM18" s="1045">
        <f t="shared" si="4"/>
        <v>241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104</v>
      </c>
      <c r="BD18" s="1045">
        <f t="shared" si="4"/>
        <v>363</v>
      </c>
      <c r="BE18" s="1045">
        <f t="shared" si="4"/>
        <v>0</v>
      </c>
      <c r="BF18" s="1045">
        <f t="shared" si="4"/>
        <v>0</v>
      </c>
      <c r="BG18" s="1045">
        <f>IF(ISNUMBER(Datos!K18/Datos!J18),Datos!K18/Datos!J18," - ")</f>
        <v>0.84705882352941175</v>
      </c>
      <c r="BH18" s="1049">
        <f>IF(ISNUMBER(((Datos!L18/Datos!K18)*11)/factor_trimestre),((Datos!L18/Datos!K18)*11)/factor_trimestre," - ")</f>
        <v>3.1543209876543212</v>
      </c>
      <c r="BI18" s="1045">
        <f>SUBTOTAL(9,BI15:BI17)</f>
        <v>0.160741885625966</v>
      </c>
      <c r="BJ18" s="1045">
        <f>SUBTOTAL(9,BJ15:BJ17)</f>
        <v>0</v>
      </c>
      <c r="BK18" s="1045">
        <f>SUBTOTAL(9,BK15:BK17)</f>
        <v>0</v>
      </c>
      <c r="BL18" s="1045">
        <f>IF(ISNUMBER((I18-AB18+L18)/(F18)),(I18-AB18+L18)/(F18)," - ")</f>
        <v>-0.75878220140515218</v>
      </c>
      <c r="BM18" s="1051">
        <f>IF(ISNUMBER((Datos!P18-Datos!Q18)/(Datos!R18-Datos!P18+Datos!Q18)),(Datos!P18-Datos!Q18)/(Datos!R18-Datos!P18+Datos!Q18)," - ")</f>
        <v>0.29569892473118281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861</v>
      </c>
      <c r="G19" s="966">
        <f t="shared" si="6"/>
        <v>912</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227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651</v>
      </c>
      <c r="AC19" s="967">
        <f t="shared" si="7"/>
        <v>106</v>
      </c>
      <c r="AD19" s="967">
        <f t="shared" si="7"/>
        <v>0</v>
      </c>
      <c r="AE19" s="967">
        <f t="shared" si="7"/>
        <v>0</v>
      </c>
      <c r="AF19" s="974">
        <f t="shared" si="7"/>
        <v>1026</v>
      </c>
      <c r="AG19" s="974">
        <f t="shared" si="7"/>
        <v>0</v>
      </c>
      <c r="AH19" s="974">
        <f t="shared" si="7"/>
        <v>92</v>
      </c>
      <c r="AI19" s="974">
        <f t="shared" si="7"/>
        <v>0</v>
      </c>
      <c r="AJ19" s="967">
        <f t="shared" si="7"/>
        <v>0</v>
      </c>
      <c r="AK19" s="974">
        <f t="shared" si="7"/>
        <v>0</v>
      </c>
      <c r="AL19" s="974">
        <f t="shared" si="7"/>
        <v>0</v>
      </c>
      <c r="AM19" s="974">
        <f t="shared" si="7"/>
        <v>3678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217</v>
      </c>
      <c r="BD19" s="966">
        <f t="shared" si="7"/>
        <v>678</v>
      </c>
      <c r="BE19" s="966">
        <f t="shared" si="7"/>
        <v>0</v>
      </c>
      <c r="BF19" s="976">
        <f t="shared" si="7"/>
        <v>0</v>
      </c>
      <c r="BG19" s="1061">
        <f>IF(ISNUMBER(Datos!K19/Datos!J19),Datos!K19/Datos!J19," - ")</f>
        <v>0.78019925280199254</v>
      </c>
      <c r="BH19" s="1061">
        <f>IF(ISNUMBER(((Datos!L19/Datos!K19)*11)/factor_trimestre),((Datos!L19/Datos!K19)*11)/factor_trimestre," - ")</f>
        <v>3.9664804469273744</v>
      </c>
      <c r="BI19" s="959">
        <f>IF(ISNUMBER(Datos!J19/Datos!I19),Datos!J19/Datos!I19," - ")</f>
        <v>0.75328330206378991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-0.75609756097560976</v>
      </c>
      <c r="BM19" s="1035">
        <f>IF(ISNUMBER((Datos!P19-Datos!Q19+R19)/(Datos!R19-Datos!P19+Datos!Q19-R19)),(Datos!P19-Datos!Q19+R19)/(Datos!R19-Datos!P19+Datos!Q19-R19)," - ")</f>
        <v>3.4017430418892325E-2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489.015678003613</v>
      </c>
      <c r="G21" s="600">
        <f>IF(ISNUMBER(STDEV(G8:G18)),STDEV(G8:G18),"-")</f>
        <v>470.5435155222097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353.37345684134232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56.17354062783177</v>
      </c>
      <c r="BD21" s="599"/>
      <c r="BE21" s="599">
        <f>IF(ISNUMBER(STDEV(BE8:BE18)),STDEV(BE8:BE18),"-")</f>
        <v>0</v>
      </c>
      <c r="BF21" s="604">
        <f>IF(ISNUMBER(STDEV(BF8:BF18)),STDEV(BF8:BF18),"-")</f>
        <v>0</v>
      </c>
      <c r="BG21" s="914">
        <f>IF(ISNUMBER(STDEV(BG8:BG18)),STDEV(BG8:BG18),"-")</f>
        <v>6.9876061521452065E-2</v>
      </c>
      <c r="BH21" s="918">
        <f>IF(ISNUMBER(STDEV(BH8:BH18)),STDEV(BH8:BH18),"-")</f>
        <v>39.326063846252616</v>
      </c>
      <c r="BI21" s="253">
        <f>IF(ISNUMBER(STDEV(BI8:BI18)),STDEV(BI8:BI18),"-")</f>
        <v>8.3059461719155472E-2</v>
      </c>
      <c r="BJ21" s="234" t="str">
        <f>IF(ISNUMBER(BL21/BM21),BL21/BM21," - ")</f>
        <v xml:space="preserve"> - </v>
      </c>
      <c r="BK21" s="626"/>
      <c r="BL21" s="607">
        <f>IF(ISNUMBER(STDEV(BL8:BL18)),STDEV(BL8:BL18),"-")</f>
        <v>0.2334942766915763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9zV46cuvyf2gZsxnvDcUWnmbqQLg1ymfGWVHbkj8NVDWAJpFv0zPTpLvPTX5GWGeIIm0Un8jjTM/TeupU3KSQ==" saltValue="pSvg18+ZiNwN2oSLZS2b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PICASSENT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4</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2.6666666666666665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90</v>
      </c>
      <c r="AA12" s="505" t="str">
        <f>IF(ISNUMBER(IF(J_V="SI",Datos!L12,Datos!L12+Datos!AB12)-IF(Monitorios="SI",Datos!CD12,0)),
                          IF(J_V="SI",Datos!L12,Datos!L12+Datos!AB12)-IF(Monitorios="SI",Datos!CD12,0),
                          " - ")</f>
        <v xml:space="preserve"> - </v>
      </c>
      <c r="AB12" s="503"/>
      <c r="AC12" s="503"/>
      <c r="AD12" s="516"/>
      <c r="AE12" s="516">
        <f>IF(ISNUMBER(Datos!R12),Datos!R12," - ")</f>
        <v>3436</v>
      </c>
      <c r="AF12" s="619" t="str">
        <f>IF(ISNUMBER(Datos!BV12),Datos!BV12," - ")</f>
        <v xml:space="preserve"> - </v>
      </c>
      <c r="AG12" s="506" t="str">
        <f>IF(ISNUMBER(Datos!DV12),Datos!DV12," - ")</f>
        <v xml:space="preserve"> - </v>
      </c>
      <c r="AH12" s="507"/>
      <c r="AI12" s="508"/>
      <c r="AJ12" s="506">
        <f>IF(ISNUMBER(Datos!M12),Datos!M12," - ")</f>
        <v>113</v>
      </c>
      <c r="AK12" s="619">
        <f>IF(ISNUMBER(Datos!N12),Datos!N12," - ")</f>
        <v>315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4.8317757009345792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1.9584569732937686E-2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156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90</v>
      </c>
      <c r="AA13" s="1046">
        <f t="shared" si="2"/>
        <v>4</v>
      </c>
      <c r="AB13" s="1046">
        <f t="shared" si="2"/>
        <v>0</v>
      </c>
      <c r="AC13" s="1046">
        <f t="shared" si="2"/>
        <v>0</v>
      </c>
      <c r="AD13" s="1046">
        <f t="shared" si="2"/>
        <v>0</v>
      </c>
      <c r="AE13" s="1046">
        <f t="shared" si="2"/>
        <v>3437</v>
      </c>
      <c r="AF13" s="1054">
        <f t="shared" si="2"/>
        <v>0</v>
      </c>
      <c r="AG13" s="1054">
        <f t="shared" si="2"/>
        <v>0</v>
      </c>
      <c r="AH13" s="1054">
        <f t="shared" si="2"/>
        <v>0</v>
      </c>
      <c r="AI13" s="1054">
        <f t="shared" si="2"/>
        <v>0</v>
      </c>
      <c r="AJ13" s="1054">
        <f t="shared" si="2"/>
        <v>113</v>
      </c>
      <c r="AK13" s="1054">
        <f t="shared" si="2"/>
        <v>315</v>
      </c>
      <c r="AL13" s="1054">
        <f t="shared" si="2"/>
        <v>0</v>
      </c>
      <c r="AM13" s="1054">
        <f t="shared" si="2"/>
        <v>0</v>
      </c>
      <c r="AN13" s="1054">
        <f t="shared" si="2"/>
        <v>0</v>
      </c>
      <c r="AO13" s="1050">
        <f>IF(ISNUMBER(((NºAsuntos!I13/NºAsuntos!G13)*11)/factor_trimestre),((NºAsuntos!I13/NºAsuntos!G13)*11)/factor_trimestre," - ")</f>
        <v>4.8217054263565888</v>
      </c>
      <c r="AP13" s="1056" t="str">
        <f>IF(ISNUMBER(Datos!CI13/Datos!CJ13),Datos!CI13/Datos!CJ13," - ")</f>
        <v xml:space="preserve"> - </v>
      </c>
      <c r="AQ13" s="1074">
        <f t="shared" ref="AQ13:AV13" si="3">SUBTOTAL(9,AQ9:AQ12)</f>
        <v>0</v>
      </c>
      <c r="AR13" s="1074">
        <f t="shared" si="3"/>
        <v>1.9584569732937686E-2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854</v>
      </c>
      <c r="G16" s="506">
        <f>IF(ISNUMBER(IF(D_I="SI",Datos!I16,Datos!I16+Datos!AC16)),IF(D_I="SI",Datos!I16,Datos!I16+Datos!AC16)," - ")</f>
        <v>854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647</v>
      </c>
      <c r="Z16" s="703">
        <f>IF(ISNUMBER(Datos!Q16),Datos!Q16," - ")</f>
        <v>16</v>
      </c>
      <c r="AA16" s="505">
        <f>IF(ISNUMBER(IF(D_I="SI",Datos!L16,Datos!L16+Datos!AF16)),IF(D_I="SI",Datos!L16,Datos!L16+Datos!AF16)," - ")</f>
        <v>972</v>
      </c>
      <c r="AB16" s="503"/>
      <c r="AC16" s="503"/>
      <c r="AD16" s="516"/>
      <c r="AE16" s="516">
        <f>IF(ISNUMBER(Datos!R16),Datos!R16," - ")</f>
        <v>241</v>
      </c>
      <c r="AF16" s="619" t="str">
        <f>IF(ISNUMBER(Datos!BV16),Datos!BV16," - ")</f>
        <v xml:space="preserve"> - </v>
      </c>
      <c r="AG16" s="506"/>
      <c r="AH16" s="507"/>
      <c r="AI16" s="508"/>
      <c r="AJ16" s="506">
        <f>IF(ISNUMBER(Datos!M16),Datos!M16," - ")</f>
        <v>104</v>
      </c>
      <c r="AK16" s="619">
        <f>IF(ISNUMBER(Datos!N16),Datos!N16," - ")</f>
        <v>362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3.0046367851622873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50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854</v>
      </c>
      <c r="G18" s="1044">
        <f>SUBTOTAL(9,G15:G17)</f>
        <v>905</v>
      </c>
      <c r="H18" s="1078">
        <f>SUBTOTAL(9,H15:H17)</f>
        <v>0</v>
      </c>
      <c r="I18" s="1057">
        <f>SUBTOTAL(9,I15:I17)</f>
        <v>0</v>
      </c>
      <c r="J18" s="1013">
        <f>SUBTOTAL(9,J14:J17)</f>
        <v>0</v>
      </c>
      <c r="K18" s="1078">
        <f t="shared" ref="K18:S18" si="4">SUBTOTAL(9,K15:K17)</f>
        <v>0</v>
      </c>
      <c r="L18" s="1078">
        <f t="shared" si="4"/>
        <v>0</v>
      </c>
      <c r="M18" s="1078">
        <f t="shared" si="4"/>
        <v>0</v>
      </c>
      <c r="N18" s="1078">
        <f t="shared" si="4"/>
        <v>71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648</v>
      </c>
      <c r="Z18" s="1078">
        <f t="shared" si="5"/>
        <v>16</v>
      </c>
      <c r="AA18" s="1078">
        <f t="shared" si="5"/>
        <v>1022</v>
      </c>
      <c r="AB18" s="1078">
        <f t="shared" si="5"/>
        <v>0</v>
      </c>
      <c r="AC18" s="1078">
        <f t="shared" si="5"/>
        <v>0</v>
      </c>
      <c r="AD18" s="1078">
        <f t="shared" si="5"/>
        <v>0</v>
      </c>
      <c r="AE18" s="1078">
        <f t="shared" si="5"/>
        <v>241</v>
      </c>
      <c r="AF18" s="1078">
        <f t="shared" si="5"/>
        <v>0</v>
      </c>
      <c r="AG18" s="1078">
        <f t="shared" si="5"/>
        <v>0</v>
      </c>
      <c r="AH18" s="1078">
        <f t="shared" si="5"/>
        <v>0</v>
      </c>
      <c r="AI18" s="1078">
        <f t="shared" si="5"/>
        <v>0</v>
      </c>
      <c r="AJ18" s="1078">
        <f t="shared" si="5"/>
        <v>104</v>
      </c>
      <c r="AK18" s="1078">
        <f t="shared" si="5"/>
        <v>363</v>
      </c>
      <c r="AL18" s="1078">
        <f t="shared" si="5"/>
        <v>0</v>
      </c>
      <c r="AM18" s="1078">
        <f t="shared" si="5"/>
        <v>0</v>
      </c>
      <c r="AN18" s="1078">
        <f t="shared" si="5"/>
        <v>0</v>
      </c>
      <c r="AO18" s="1080">
        <f>IF(ISNUMBER(((NºAsuntos!I18/NºAsuntos!G18)*11)/factor_trimestre),((NºAsuntos!I18/NºAsuntos!G18)*11)/factor_trimestre," - ")</f>
        <v>3.1543209876543212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861</v>
      </c>
      <c r="G19" s="966">
        <f t="shared" si="7"/>
        <v>912</v>
      </c>
      <c r="H19" s="967">
        <f t="shared" si="7"/>
        <v>0</v>
      </c>
      <c r="I19" s="966">
        <f t="shared" si="7"/>
        <v>0</v>
      </c>
      <c r="J19" s="968">
        <f t="shared" si="7"/>
        <v>0</v>
      </c>
      <c r="K19" s="966">
        <f t="shared" si="7"/>
        <v>0</v>
      </c>
      <c r="L19" s="969">
        <f t="shared" si="7"/>
        <v>0</v>
      </c>
      <c r="M19" s="966">
        <f t="shared" si="7"/>
        <v>0</v>
      </c>
      <c r="N19" s="967">
        <f t="shared" si="7"/>
        <v>227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651</v>
      </c>
      <c r="Z19" s="973">
        <f t="shared" si="8"/>
        <v>106</v>
      </c>
      <c r="AA19" s="974">
        <f t="shared" si="8"/>
        <v>1026</v>
      </c>
      <c r="AB19" s="974">
        <f t="shared" si="8"/>
        <v>0</v>
      </c>
      <c r="AC19" s="974">
        <f t="shared" si="8"/>
        <v>0</v>
      </c>
      <c r="AD19" s="975">
        <f t="shared" si="8"/>
        <v>0</v>
      </c>
      <c r="AE19" s="975">
        <f t="shared" si="8"/>
        <v>3678</v>
      </c>
      <c r="AF19" s="976">
        <f t="shared" si="8"/>
        <v>0</v>
      </c>
      <c r="AG19" s="977">
        <f t="shared" si="8"/>
        <v>0</v>
      </c>
      <c r="AH19" s="978">
        <f t="shared" si="8"/>
        <v>0</v>
      </c>
      <c r="AI19" s="976">
        <f t="shared" si="8"/>
        <v>0</v>
      </c>
      <c r="AJ19" s="966">
        <f t="shared" si="8"/>
        <v>217</v>
      </c>
      <c r="AK19" s="966">
        <f t="shared" si="8"/>
        <v>678</v>
      </c>
      <c r="AL19" s="966">
        <f t="shared" si="8"/>
        <v>0</v>
      </c>
      <c r="AM19" s="979">
        <f t="shared" si="8"/>
        <v>0</v>
      </c>
      <c r="AN19" s="969">
        <f>IF(ISNUMBER(Datos!K19/Datos!J19),Datos!K19/Datos!J19," - ")</f>
        <v>0.78019925280199254</v>
      </c>
      <c r="AO19" s="969">
        <f>IF(ISNUMBER(FIND("06",Criterios!A8,1)),(IF(ISNUMBER(((Datos!R19/Datos!Q19)*11)/factor_trimestre),((Datos!R19/Datos!Q19)*11)/factor_trimestre," - ")),(IF(ISNUMBER(((Datos!L19/Datos!K19)*11)/factor_trimestre),((Datos!L19/Datos!K19)*11)/factor_trimestre," - ")))</f>
        <v>3.9664804469273744</v>
      </c>
      <c r="AP19" s="980" t="str">
        <f>IF(ISNUMBER(Datos!CI19/Datos!CJ19),Datos!CI19/Datos!CJ19," - ")</f>
        <v xml:space="preserve"> - </v>
      </c>
      <c r="AQ19" s="980">
        <f>IF(OR(ISNUMBER(FIND("01",Criterios!A8,1)),ISNUMBER(FIND("02",Criterios!A8,1)),ISNUMBER(FIND("03",Criterios!A8,1)),ISNUMBER(FIND("04",Criterios!A8,1))),(J19-Y19+K19)/(F19-K19),(I19-Y19+K19)/(F19-K19))</f>
        <v>-0.75609756097560976</v>
      </c>
      <c r="AR19" s="980">
        <f>IF(ISNUMBER((Datos!P19-Datos!Q19+O19)/(Datos!R19-Datos!P19+Datos!Q19-O19)),(Datos!P19-Datos!Q19+O19)/(Datos!R19-Datos!P19+Datos!Q19-O19)," - ")</f>
        <v>3.4017430418892325E-2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489.015678003613</v>
      </c>
      <c r="G21" s="600">
        <f>IF(ISNUMBER(STDEV(G8:G18)),STDEV(G8:G18),"-")</f>
        <v>470.5435155222097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56.17354062783177</v>
      </c>
      <c r="AK21" s="256"/>
      <c r="AL21" s="256">
        <f>IF(ISNUMBER(STDEV(AL8:AL18)),STDEV(AL8:AL18),"-")</f>
        <v>0</v>
      </c>
      <c r="AM21" s="258">
        <f>IF(ISNUMBER(STDEV(AM8:AM18)),STDEV(AM8:AM18),"-")</f>
        <v>0</v>
      </c>
      <c r="AN21" s="586">
        <f>IF(ISNUMBER(STDEV(AN8:AN18)),STDEV(AN8:AN18),"-")</f>
        <v>0</v>
      </c>
      <c r="AO21" s="587">
        <f>IF(ISNUMBER(STDEV(AO8:AO18)),STDEV(AO8:AO18),"-")</f>
        <v>39.327175975925954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qyf9hZMbifyyiFMBCKtdX6M0J1VejDtdmEY1vlk54HVjozMKmTP4hFAt+50mMkSSxg94KENGDJXeV+rhty1UA==" saltValue="d2lHGjRmDdpDSVeTo+pM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kZOhe6qKn1NzPpoYM0tX5nlvUC/BRQR0GhCMdX3MeETwgpMKHc9qf0BlDAS8R7/6/UzOxKWv1rz1q2rKkI16A==" saltValue="93ILKeEFrsmSHY+ZSzO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1AZMHI7fs+C61Tk6BiHOC7rsDPoSLiut/VxbUTGPvwn/QQNDG60h+xgpxe8OXDjVnyaiPUgquGhYS54PkQ7ow==" saltValue="3WJTOBh6mls5oWabhJEW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PICASSENT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0.17519379844961241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0.12388072290555019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yHzrxjtVbqHDQ/OUaPc03hDrAq7xNKswQkJdCwIo0Z1U5KWnVGQUuGd7AOHLdDh3uDL6QVzb96AkqOuICTneA==" saltValue="YiJqdouOch1puPzS2UU6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MRftI7O0Q5NRvL1mU/zSS4e576rbPveIqNhDgfKP0JVEkn5/LFx6hIge746BSKd8Zu32I2kFE3V5HRqy9z7VQ==" saltValue="xCiCLbP1fujsXwipj5Au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PICASSENT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0</v>
      </c>
      <c r="F10" s="415">
        <f>IF(ISNUMBER(E10/B10),E10/B10," - ")</f>
        <v>0</v>
      </c>
      <c r="G10" s="414">
        <f>IF(ISNUMBER(Datos!K10),Datos!K10," - ")</f>
        <v>3</v>
      </c>
      <c r="H10" s="415">
        <f>IF(ISNUMBER(G10/B10),G10/B10," - ")</f>
        <v>3</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1316</v>
      </c>
      <c r="D12" s="415">
        <f>IF(ISNUMBER(C12/Datos!BH12),C12/Datos!BH12," - ")</f>
        <v>438.66666666666669</v>
      </c>
      <c r="E12" s="414">
        <f>IF(ISNUMBER(IF(J_V="SI",Datos!J12,Datos!J12+Datos!Z12)),IF(J_V="SI",Datos!J12,Datos!J12+Datos!Z12)," - ")</f>
        <v>877</v>
      </c>
      <c r="F12" s="415">
        <f>IF(ISNUMBER(E12/B12),E12/B12," - ")</f>
        <v>292.33333333333331</v>
      </c>
      <c r="G12" s="414">
        <f>IF(ISNUMBER(IF(J_V="SI",Datos!K12,Datos!K12+Datos!AA12)),IF(J_V="SI",Datos!K12,Datos!K12+Datos!AA12)," - ")</f>
        <v>642</v>
      </c>
      <c r="H12" s="415">
        <f>IF(ISNUMBER(G12/B12),G12/B12," - ")</f>
        <v>214</v>
      </c>
      <c r="I12" s="414">
        <f>IF(ISNUMBER(IF(J_V="SI",Datos!L12,Datos!L12+Datos!AB12)),IF(J_V="SI",Datos!L12,Datos!L12+Datos!AB12)," - ")</f>
        <v>1551</v>
      </c>
      <c r="J12" s="415">
        <f>IF(ISNUMBER(I12/B12),I12/B12," - ")</f>
        <v>517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1323</v>
      </c>
      <c r="D13" s="996" t="str">
        <f>IF(ISNUMBER(C13/Datos!BI13),C13/Datos!BI13," - ")</f>
        <v xml:space="preserve"> - </v>
      </c>
      <c r="E13" s="995">
        <f>SUBTOTAL(9,E8:E12)</f>
        <v>877</v>
      </c>
      <c r="F13" s="996">
        <f>IF(ISNUMBER(E13/B13),E13/B13," - ")</f>
        <v>292.33333333333331</v>
      </c>
      <c r="G13" s="995">
        <f>SUBTOTAL(9,G8:G12)</f>
        <v>645</v>
      </c>
      <c r="H13" s="996">
        <f>IF(ISNUMBER(G13/B13),G13/B13," - ")</f>
        <v>215</v>
      </c>
      <c r="I13" s="995">
        <f>SUBTOTAL(9,I8:I12)</f>
        <v>1555</v>
      </c>
      <c r="J13" s="996">
        <f>IF(ISNUMBER(I13/B13),I13/B13," - ")</f>
        <v>518.33333333333337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854</v>
      </c>
      <c r="D16" s="415">
        <f>IF(ISNUMBER(C16/Datos!BH16),C16/Datos!BH16," - ")</f>
        <v>284.66666666666669</v>
      </c>
      <c r="E16" s="414">
        <f>IF(ISNUMBER(IF(D_I="SI",Datos!J16,Datos!J16+Datos!AD16)),IF(D_I="SI",Datos!J16,Datos!J16+Datos!AD16)," - ")</f>
        <v>765</v>
      </c>
      <c r="F16" s="415">
        <f>IF(ISNUMBER(E16/B16),E16/B16," - ")</f>
        <v>255</v>
      </c>
      <c r="G16" s="414">
        <f>IF(ISNUMBER(IF(D_I="SI",Datos!K16,Datos!K16+Datos!AE16)),IF(D_I="SI",Datos!K16,Datos!K16+Datos!AE16)," - ")</f>
        <v>647</v>
      </c>
      <c r="H16" s="415">
        <f>IF(ISNUMBER(G16/B16),G16/B16," - ")</f>
        <v>215.66666666666666</v>
      </c>
      <c r="I16" s="414">
        <f>IF(ISNUMBER(IF(D_I="SI",Datos!L16,Datos!L16+Datos!AF16)),IF(D_I="SI",Datos!L16,Datos!L16+Datos!AF16)," - ")</f>
        <v>972</v>
      </c>
      <c r="J16" s="415">
        <f>IF(ISNUMBER(I16/B16),I16/B16," - ")</f>
        <v>324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51</v>
      </c>
      <c r="D17" s="415">
        <f>IF(ISNUMBER(C17/Datos!BH17),C17/Datos!BH17," - ")</f>
        <v>51</v>
      </c>
      <c r="E17" s="414">
        <f>IF(ISNUMBER(IF(D_I="SI",Datos!J17,Datos!J17+Datos!AD17)),IF(D_I="SI",Datos!J17,Datos!J17+Datos!AD17)," - ")</f>
        <v>0</v>
      </c>
      <c r="F17" s="415">
        <f>IF(ISNUMBER(E17/B17),E17/B17," - ")</f>
        <v>0</v>
      </c>
      <c r="G17" s="414">
        <f>IF(ISNUMBER(IF(D_I="SI",Datos!K17,Datos!K17+Datos!AE17)),IF(D_I="SI",Datos!K17,Datos!K17+Datos!AE17)," - ")</f>
        <v>1</v>
      </c>
      <c r="H17" s="415">
        <f>IF(ISNUMBER(G17/B17),G17/B17," - ")</f>
        <v>1</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905</v>
      </c>
      <c r="D18" s="996" t="str">
        <f>IF(ISNUMBER(C18/Datos!BI18),C18/Datos!BI18," - ")</f>
        <v xml:space="preserve"> - </v>
      </c>
      <c r="E18" s="995">
        <f>SUBTOTAL(9,E14:E17)</f>
        <v>765</v>
      </c>
      <c r="F18" s="996">
        <f>IF(ISNUMBER(E18/B18),E18/B18," - ")</f>
        <v>255</v>
      </c>
      <c r="G18" s="995">
        <f>SUBTOTAL(9,G14:G17)</f>
        <v>648</v>
      </c>
      <c r="H18" s="996">
        <f>IF(ISNUMBER(G18/B18),G18/B18," - ")</f>
        <v>216</v>
      </c>
      <c r="I18" s="995">
        <f>SUBTOTAL(9,I14:I17)</f>
        <v>1022</v>
      </c>
      <c r="J18" s="996">
        <f>IF(ISNUMBER(I18/B18),I18/B18," - ")</f>
        <v>340.66666666666669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2228</v>
      </c>
      <c r="D19" s="941" t="str">
        <f>IF(ISNUMBER(C19/Datos!BI19),C19/Datos!BI19," - ")</f>
        <v xml:space="preserve"> - </v>
      </c>
      <c r="E19" s="940">
        <f>SUBTOTAL(9,E9:E18)</f>
        <v>1642</v>
      </c>
      <c r="F19" s="941">
        <f>IF(ISNUMBER(E19/B19),E19/B19," - ")</f>
        <v>547.33333333333337</v>
      </c>
      <c r="G19" s="940">
        <f>SUBTOTAL(9,G9:G18)</f>
        <v>1293</v>
      </c>
      <c r="H19" s="941">
        <f>IF(ISNUMBER(G19/B19),G19/B19," - ")</f>
        <v>431</v>
      </c>
      <c r="I19" s="940">
        <f>SUBTOTAL(9,I9:I18)</f>
        <v>2577</v>
      </c>
      <c r="J19" s="941">
        <f>IF(ISNUMBER(I19/B19),I19/B19," - ")</f>
        <v>859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x2SK1zfkwb9ezsO0oyZDirD+4eVGOYT71rqTsoJ0hfIVheJZSIABQ6P3LuhW/v2DU6vaac8lpo/Wk3YdBawyw==" saltValue="5r8SXF8mrpl/E7NtiO4n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PICASSENT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2.6666666666666665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113</v>
      </c>
      <c r="AM12" s="810">
        <f>IF(ISNUMBER(Datos!N12+DatosP!N16),Datos!N12+DatosP!N16," - ")</f>
        <v>315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4.8317757009345792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1.9584569732937686E-2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90</v>
      </c>
      <c r="AE13" s="1085">
        <f t="shared" si="1"/>
        <v>0</v>
      </c>
      <c r="AF13" s="1085">
        <f t="shared" si="1"/>
        <v>4</v>
      </c>
      <c r="AG13" s="1085">
        <f t="shared" si="1"/>
        <v>0</v>
      </c>
      <c r="AH13" s="1085">
        <f t="shared" si="1"/>
        <v>3436</v>
      </c>
      <c r="AI13" s="1085">
        <f t="shared" si="1"/>
        <v>0</v>
      </c>
      <c r="AJ13" s="1085">
        <f t="shared" si="1"/>
        <v>0</v>
      </c>
      <c r="AK13" s="1085">
        <f t="shared" si="1"/>
        <v>0</v>
      </c>
      <c r="AL13" s="1085">
        <f t="shared" si="1"/>
        <v>113</v>
      </c>
      <c r="AM13" s="1085">
        <f t="shared" si="1"/>
        <v>315</v>
      </c>
      <c r="AN13" s="1085">
        <f t="shared" si="1"/>
        <v>0</v>
      </c>
      <c r="AO13" s="1085">
        <f t="shared" si="1"/>
        <v>0</v>
      </c>
      <c r="AP13" s="1090">
        <f>IF(ISNUMBER(((Datos!L13/Datos!K13)*11)/factor_trimestre),((Datos!L13/Datos!K13)*11)/factor_trimestre," - ")</f>
        <v>4.836363636363636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1.9584569732937686E-2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3.1543209876543212</v>
      </c>
      <c r="AQ18" s="1090">
        <f>IF(ISNUMBER(((Datos!M18/Datos!L18)*11)/factor_trimestre),((Datos!M18/Datos!L18)*11)/factor_trimestre," - ")</f>
        <v>0.20352250489236789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0.29569892473118281</v>
      </c>
      <c r="AW18" s="1092">
        <f>IF(ISNUMBER((Datos!Q18-Datos!R18)/(Datos!S18-Datos!Q18+Datos!R18)),(Datos!Q18-Datos!R18)/(Datos!S18-Datos!Q18+Datos!R18)," - ")</f>
        <v>-0.18860016764459347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90</v>
      </c>
      <c r="AE19" s="1103">
        <f t="shared" si="5"/>
        <v>0</v>
      </c>
      <c r="AF19" s="1104">
        <f t="shared" si="5"/>
        <v>4</v>
      </c>
      <c r="AG19" s="1104">
        <f t="shared" si="5"/>
        <v>0</v>
      </c>
      <c r="AH19" s="1104">
        <f t="shared" si="5"/>
        <v>3436</v>
      </c>
      <c r="AI19" s="1104">
        <f t="shared" si="5"/>
        <v>0</v>
      </c>
      <c r="AJ19" s="1105">
        <f t="shared" si="5"/>
        <v>0</v>
      </c>
      <c r="AK19" s="1105">
        <f t="shared" si="5"/>
        <v>0</v>
      </c>
      <c r="AL19" s="1097">
        <f t="shared" si="5"/>
        <v>113</v>
      </c>
      <c r="AM19" s="1097">
        <f t="shared" si="5"/>
        <v>315</v>
      </c>
      <c r="AN19" s="1097">
        <f t="shared" si="5"/>
        <v>0</v>
      </c>
      <c r="AO19" s="1097">
        <f t="shared" si="5"/>
        <v>0</v>
      </c>
      <c r="AP19" s="1097">
        <f>IF(ISNUMBER(((Datos!L19/Datos!K19)*11)/factor_trimestre),((Datos!L19/Datos!K19)*11)/factor_trimestre," - ")</f>
        <v>3.9664804469273744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3.4017430418892325E-2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65.240580418427712</v>
      </c>
      <c r="AM21" s="869"/>
      <c r="AN21" s="869">
        <f>IF(ISNUMBER(STDEV(AN8:AN18)),STDEV(AN8:AN18),"-")</f>
        <v>0</v>
      </c>
      <c r="AO21" s="875">
        <f>IF(ISNUMBER(STDEV(AO8:AO18)),STDEV(AO8:AO18),"-")</f>
        <v>0</v>
      </c>
      <c r="AP21" s="922">
        <f>IF(ISNUMBER(STDEV(AP8:AP18)),STDEV(AP8:AP18),"-")</f>
        <v>1.1282815710810461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NBZ+rJYXvFbA47r5E+/edc082MNVcLJoUTRphEXp/kxcQLSmky0i7JyYpIx48+bcH8xyGgPTFLyGaE5J0bajg==" saltValue="cGHp5FHd/3UZPH+zQdXB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PICASSENT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tViu+E1/g+wJp8sU924F3B5EEt/tJ0oqhtKdpw7w00qYY7CSy2FsMPpPu3za3f0B4SauGZb78xtFgFF9z/C5w==" saltValue="CyIeCQu7rw0Qr+rjLcr5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PICASSENT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113</v>
      </c>
      <c r="E12" s="415">
        <f t="shared" si="0"/>
        <v>37.666666666666664</v>
      </c>
      <c r="F12" s="414">
        <f>IF(ISNUMBER(Datos!N12),Datos!N12," - ")</f>
        <v>315</v>
      </c>
      <c r="G12" s="415">
        <f t="shared" si="1"/>
        <v>105</v>
      </c>
      <c r="H12" s="414">
        <f>IF(ISNUMBER(Datos!O12),Datos!O12," - ")</f>
        <v>266</v>
      </c>
      <c r="I12" s="415">
        <f t="shared" si="2"/>
        <v>88.666666666666671</v>
      </c>
    </row>
    <row r="13" spans="1:9" ht="14.25" thickTop="1" thickBot="1">
      <c r="A13" s="994" t="str">
        <f>Datos!A13</f>
        <v>TOTAL</v>
      </c>
      <c r="B13" s="995">
        <f>Datos!AO13</f>
        <v>4</v>
      </c>
      <c r="C13" s="997">
        <f>Datos!AR13</f>
        <v>3</v>
      </c>
      <c r="D13" s="995">
        <f>SUBTOTAL(9,D9:D12)</f>
        <v>113</v>
      </c>
      <c r="E13" s="996">
        <f t="shared" si="0"/>
        <v>28.25</v>
      </c>
      <c r="F13" s="995">
        <f>SUBTOTAL(9,F9:F12)</f>
        <v>315</v>
      </c>
      <c r="G13" s="996">
        <f t="shared" si="1"/>
        <v>78.75</v>
      </c>
      <c r="H13" s="995">
        <f>SUBTOTAL(9,H9:H12)</f>
        <v>266</v>
      </c>
      <c r="I13" s="996">
        <f>IF(ISNUMBER(H13/B13),H13/B13," - ")</f>
        <v>66.5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104</v>
      </c>
      <c r="E16" s="415">
        <f t="shared" si="3"/>
        <v>34.666666666666664</v>
      </c>
      <c r="F16" s="414">
        <f>IF(ISNUMBER(Datos!N16),Datos!N16," - ")</f>
        <v>362</v>
      </c>
      <c r="G16" s="415">
        <f t="shared" si="4"/>
        <v>120.66666666666667</v>
      </c>
      <c r="H16" s="414">
        <f>IF(ISNUMBER(Datos!O16),Datos!O16," - ")</f>
        <v>14</v>
      </c>
      <c r="I16" s="415">
        <f t="shared" si="5"/>
        <v>4.666666666666667</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4</v>
      </c>
      <c r="C18" s="997">
        <f>Datos!AR18</f>
        <v>3</v>
      </c>
      <c r="D18" s="995">
        <f>SUBTOTAL(9,D15:D17)</f>
        <v>104</v>
      </c>
      <c r="E18" s="996">
        <f t="shared" si="3"/>
        <v>26</v>
      </c>
      <c r="F18" s="995">
        <f>SUBTOTAL(9,F15:F17)</f>
        <v>363</v>
      </c>
      <c r="G18" s="996">
        <f t="shared" si="4"/>
        <v>90.75</v>
      </c>
      <c r="H18" s="995">
        <f>SUBTOTAL(9,H15:H17)</f>
        <v>14</v>
      </c>
      <c r="I18" s="996">
        <f>IF(ISNUMBER(H18/B18),H18/B18," - ")</f>
        <v>3.5</v>
      </c>
    </row>
    <row r="19" spans="1:9" ht="14.25" thickTop="1" thickBot="1">
      <c r="A19" s="939" t="str">
        <f>Datos!A19</f>
        <v>TOTAL JURISDICCIONES</v>
      </c>
      <c r="B19" s="940">
        <f>Datos!AP19</f>
        <v>3</v>
      </c>
      <c r="C19" s="940">
        <f>Datos!AR19</f>
        <v>3</v>
      </c>
      <c r="D19" s="940">
        <f>SUBTOTAL(9,D8:D18)</f>
        <v>217</v>
      </c>
      <c r="E19" s="941">
        <f>IF(ISNUMBER(D19/B19),D19/B19," - ")</f>
        <v>72.333333333333329</v>
      </c>
      <c r="F19" s="940">
        <f>SUBTOTAL(9,F8:F18)</f>
        <v>678</v>
      </c>
      <c r="G19" s="941">
        <f>IF(ISNUMBER(F19/B19),F19/B19," - ")</f>
        <v>226</v>
      </c>
      <c r="H19" s="940">
        <f>SUBTOTAL(9,H8:H18)</f>
        <v>280</v>
      </c>
      <c r="I19" s="941">
        <f>IF(ISNUMBER(H19/B19),H19/B19," - ")</f>
        <v>93.333333333333329</v>
      </c>
    </row>
    <row r="22" spans="1:9">
      <c r="A22" s="402" t="str">
        <f>Criterios!A4</f>
        <v>Fecha Informe: 29 nov. 2023</v>
      </c>
    </row>
    <row r="27" spans="1:9">
      <c r="A27" s="425"/>
    </row>
  </sheetData>
  <sheetProtection algorithmName="SHA-512" hashValue="7zY4fZ0sr0wuJ+B5xRBhJikgdT02v5gE4jwLdB1qBVdD8JW6dpuBPhvhgMzkWf9aU6mPaP03MMG55vtI0Q8G7w==" saltValue="yDao0C0picpe05GJwJ7L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PICASSENT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156</v>
      </c>
      <c r="C12" s="450">
        <f>IF(ISNUMBER(Datos!Q12),Datos!Q12," - ")</f>
        <v>90</v>
      </c>
      <c r="D12" s="419">
        <f>IF(ISNUMBER(Datos!R12),Datos!R12," - ")</f>
        <v>3436</v>
      </c>
    </row>
    <row r="13" spans="1:4" ht="14.25" thickTop="1" thickBot="1">
      <c r="A13" s="994" t="str">
        <f>Datos!A13</f>
        <v>TOTAL</v>
      </c>
      <c r="B13" s="995">
        <f>SUBTOTAL(9,B9:B12)</f>
        <v>156</v>
      </c>
      <c r="C13" s="999">
        <f>SUBTOTAL(9,C9:C12)</f>
        <v>90</v>
      </c>
      <c r="D13" s="997">
        <f>SUBTOTAL(9,D9:D12)</f>
        <v>3437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71</v>
      </c>
      <c r="C16" s="450">
        <f>IF(ISNUMBER(Datos!Q16),Datos!Q16," - ")</f>
        <v>16</v>
      </c>
      <c r="D16" s="419">
        <f>IF(ISNUMBER(Datos!R16),Datos!R16," - ")</f>
        <v>241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71</v>
      </c>
      <c r="C18" s="999">
        <f>SUBTOTAL(9,C15:C17)</f>
        <v>16</v>
      </c>
      <c r="D18" s="997">
        <f>SUBTOTAL(9,D15:D17)</f>
        <v>241</v>
      </c>
    </row>
    <row r="19" spans="1:4" ht="16.5" customHeight="1" thickTop="1" thickBot="1">
      <c r="A19" s="939" t="str">
        <f>Datos!A19</f>
        <v>TOTAL JURISDICCIONES</v>
      </c>
      <c r="B19" s="944">
        <f>SUBTOTAL(9,B8:B18)</f>
        <v>227</v>
      </c>
      <c r="C19" s="945">
        <f>SUBTOTAL(9,C8:C18)</f>
        <v>106</v>
      </c>
      <c r="D19" s="946">
        <f>SUBTOTAL(9,D8:D18)</f>
        <v>3678</v>
      </c>
    </row>
    <row r="20" spans="1:4" ht="7.5" customHeight="1"/>
    <row r="21" spans="1:4" ht="6" customHeight="1"/>
    <row r="22" spans="1:4">
      <c r="A22" s="402" t="str">
        <f>Criterios!A4</f>
        <v>Fecha Informe: 29 nov. 2023</v>
      </c>
    </row>
    <row r="27" spans="1:4">
      <c r="A27" s="425"/>
    </row>
  </sheetData>
  <sheetProtection algorithmName="SHA-512" hashValue="hcyWKIOgWBit3RhP6K7rcCV49xixM9S/2GrRiZfcaS6ZUVHKvwgfaQsE+X8dzJJfFCte3xLsGQMstmcmLmOLYw==" saltValue="QX2/hAANtBLdoBo2Y6Zr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PICASSENT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-1</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-0.10779661016949152</v>
      </c>
      <c r="C12" s="472">
        <f>IF(ISNUMBER(
   IF(J_V="SI",(Datos!J12-Datos!T12)/Datos!T12,(Datos!J12+Datos!Z12-(Datos!T12+Datos!AH12))/(Datos!T12+Datos!AH12))
     ),IF(J_V="SI",(Datos!J12-Datos!T12)/Datos!T12,(Datos!J12+Datos!Z12-(Datos!T12+Datos!AH12))/(Datos!T12+Datos!AH12))," - ")</f>
        <v>0.2582496413199426</v>
      </c>
      <c r="D12" s="472">
        <f>IF(ISNUMBER(
   IF(J_V="SI",(Datos!K12-Datos!U12)/Datos!U12,(Datos!K12+Datos!AA12-(Datos!U12+Datos!AI12))/(Datos!U12+Datos!AI12))
     ),IF(J_V="SI",(Datos!K12-Datos!U12)/Datos!U12,(Datos!K12+Datos!AA12-(Datos!U12+Datos!AI12))/(Datos!U12+Datos!AI12))," - ")</f>
        <v>-0.12054794520547946</v>
      </c>
      <c r="E12" s="472">
        <f>IF(ISNUMBER(
   IF(J_V="SI",(Datos!L12-Datos!V12)/Datos!V12,(Datos!L12+Datos!AB12-(Datos!V12+Datos!AJ12))/(Datos!V12+Datos!AJ12))
     ),IF(J_V="SI",(Datos!L12-Datos!V12)/Datos!V12,(Datos!L12+Datos!AB12-(Datos!V12+Datos!AJ12))/(Datos!V12+Datos!AJ12))," - ")</f>
        <v>7.558945908460471E-2</v>
      </c>
      <c r="F12" s="472">
        <f>IF(ISNUMBER((Datos!M12-Datos!W12)/Datos!W12),(Datos!M12-Datos!W12)/Datos!W12," - ")</f>
        <v>-6.6115702479338845E-2</v>
      </c>
      <c r="G12" s="473">
        <f>IF(ISNUMBER((Datos!N12-Datos!X12)/Datos!X12),(Datos!N12-Datos!X12)/Datos!X12," - ")</f>
        <v>0.13309352517985612</v>
      </c>
      <c r="H12" s="471">
        <f>IF(ISNUMBER(((NºAsuntos!G12/NºAsuntos!E12)-Datos!BD12)/Datos!BD12),((NºAsuntos!G12/NºAsuntos!E12)-Datos!BD12)/Datos!BD12," - ")</f>
        <v>-0.30105121756923509</v>
      </c>
      <c r="I12" s="472">
        <f>IF(ISNUMBER(((NºAsuntos!I12/NºAsuntos!G12)-Datos!BE12)/Datos!BE12),((NºAsuntos!I12/NºAsuntos!G12)-Datos!BE12)/Datos!BE12," - ")</f>
        <v>0.2230222821367</v>
      </c>
      <c r="J12" s="477">
        <f>IF(ISNUMBER((('Resol  Asuntos'!D12/NºAsuntos!G12)-Datos!BF12)/Datos!BF12),(('Resol  Asuntos'!D12/NºAsuntos!G12)-Datos!BF12)/Datos!BF12," - ")</f>
        <v>-0.53780900513234275</v>
      </c>
      <c r="K12" s="478">
        <f>IF(ISNUMBER((((NºAsuntos!C12+NºAsuntos!E12)/NºAsuntos!G12)-Datos!BG12)/Datos!BG12),(((NºAsuntos!C12+NºAsuntos!E12)/NºAsuntos!G12)-Datos!BG12)/Datos!BG12," - ")</f>
        <v>0.14806543777215536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-0.10608108108108108</v>
      </c>
      <c r="C13" s="1001">
        <f>IF(ISNUMBER(
   IF(J_V="SI",(Datos!J13-Datos!T13)/Datos!T13,(Datos!J13+Datos!Z13-(Datos!T13+Datos!AH13))/(Datos!T13+Datos!AH13))
     ),IF(J_V="SI",(Datos!J13-Datos!T13)/Datos!T13,(Datos!J13+Datos!Z13-(Datos!T13+Datos!AH13))/(Datos!T13+Datos!AH13))," - ")</f>
        <v>0.25285714285714284</v>
      </c>
      <c r="D13" s="1001">
        <f>IF(ISNUMBER(
   IF(J_V="SI",(Datos!K13-Datos!U13)/Datos!U13,(Datos!K13+Datos!AA13-(Datos!U13+Datos!AI13))/(Datos!U13+Datos!AI13))
     ),IF(J_V="SI",(Datos!K13-Datos!U13)/Datos!U13,(Datos!K13+Datos!AA13-(Datos!U13+Datos!AI13))/(Datos!U13+Datos!AI13))," - ")</f>
        <v>-0.11643835616438356</v>
      </c>
      <c r="E13" s="1001">
        <f>IF(ISNUMBER(
   IF(J_V="SI",(Datos!L13-Datos!V13)/Datos!V13,(Datos!L13+Datos!AB13-(Datos!V13+Datos!AJ13))/(Datos!V13+Datos!AJ13))
     ),IF(J_V="SI",(Datos!L13-Datos!V13)/Datos!V13,(Datos!L13+Datos!AB13-(Datos!V13+Datos!AJ13))/(Datos!V13+Datos!AJ13))," - ")</f>
        <v>7.2413793103448282E-2</v>
      </c>
      <c r="F13" s="1002">
        <f>IF(ISNUMBER((Datos!M13-Datos!W13)/Datos!W13),(Datos!M13-Datos!W13)/Datos!W13," - ")</f>
        <v>-6.6115702479338845E-2</v>
      </c>
      <c r="G13" s="1003">
        <f>IF(ISNUMBER((Datos!N13-Datos!X13)/Datos!X13),(Datos!N13-Datos!X13)/Datos!X13," - ")</f>
        <v>0.13309352517985612</v>
      </c>
      <c r="H13" s="1003">
        <f>IF(ISNUMBER(((NºAsuntos!G13/NºAsuntos!E13)-Datos!BD13)/Datos!BD13),((NºAsuntos!G13/NºAsuntos!E13)-Datos!BD13)/Datos!BD13," - ")</f>
        <v>-0.29476265600349888</v>
      </c>
      <c r="I13" s="1003">
        <f>IF(ISNUMBER(((NºAsuntos!I13/NºAsuntos!G13)-Datos!BE13)/Datos!BE13),((NºAsuntos!I13/NºAsuntos!G13)-Datos!BE13)/Datos!BE13," - ")</f>
        <v>0.21373964180700342</v>
      </c>
      <c r="J13" s="1003">
        <f>IF(ISNUMBER((('Resol  Asuntos'!D13/NºAsuntos!G13)-Datos!BF13)/Datos!BF13),(('Resol  Asuntos'!D13/NºAsuntos!G13)-Datos!BF13)/Datos!BF13," - ")</f>
        <v>-0.53995873068986666</v>
      </c>
      <c r="K13" s="1003">
        <f>IF(ISNUMBER((((NºAsuntos!C13+NºAsuntos!E13)/NºAsuntos!G13)-Datos!BG13)/Datos!BG13),(((NºAsuntos!C13+NºAsuntos!E13)/NºAsuntos!G13)-Datos!BG13)/Datos!BG13," - ")</f>
        <v>0.14216627551383254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-6.1538461538461542E-2</v>
      </c>
      <c r="C16" s="472">
        <f>IF(ISNUMBER(
   IF(D_I="SI",(Datos!J16-Datos!T16)/Datos!T16,(Datos!J16+Datos!AD16-(Datos!T16+Datos!AL16))/(Datos!T16+Datos!AL16))
     ),IF(D_I="SI",(Datos!J16-Datos!T16)/Datos!T16,(Datos!J16+Datos!AD16-(Datos!T16+Datos!AL16))/(Datos!T16+Datos!AL16))," - ")</f>
        <v>9.285714285714286E-2</v>
      </c>
      <c r="D16" s="472">
        <f>IF(ISNUMBER(
   IF(D_I="SI",(Datos!K16-Datos!U16)/Datos!U16,(Datos!K16+Datos!AE16-(Datos!U16+Datos!AM16))/(Datos!U16+Datos!AM16))
     ),IF(D_I="SI",(Datos!K16-Datos!U16)/Datos!U16,(Datos!K16+Datos!AE16-(Datos!U16+Datos!AM16))/(Datos!U16+Datos!AM16))," - ")</f>
        <v>8.557046979865772E-2</v>
      </c>
      <c r="E16" s="472">
        <f>IF(ISNUMBER(
   IF(D_I="SI",(Datos!L16-Datos!V16)/Datos!V16,(Datos!L16+Datos!AF16-(Datos!V16+Datos!AN16))/(Datos!V16+Datos!AN16))
     ),IF(D_I="SI",(Datos!L16-Datos!V16)/Datos!V16,(Datos!L16+Datos!AF16-(Datos!V16+Datos!AN16))/(Datos!V16+Datos!AN16))," - ")</f>
        <v>-4.142011834319527E-2</v>
      </c>
      <c r="F16" s="472">
        <f>IF(ISNUMBER((Datos!M16-Datos!W16)/Datos!W16),(Datos!M16-Datos!W16)/Datos!W16," - ")</f>
        <v>0.20930232558139536</v>
      </c>
      <c r="G16" s="473">
        <f>IF(ISNUMBER((Datos!N16-Datos!X16)/Datos!X16),(Datos!N16-Datos!X16)/Datos!X16," - ")</f>
        <v>9.696969696969697E-2</v>
      </c>
      <c r="H16" s="471">
        <f>IF(ISNUMBER(((NºAsuntos!G16/NºAsuntos!E16)-Datos!BD16)/Datos!BD16),((NºAsuntos!G16/NºAsuntos!E16)-Datos!BD16)/Datos!BD16," - ")</f>
        <v>-6.6675439750844435E-3</v>
      </c>
      <c r="I16" s="472">
        <f>IF(ISNUMBER(((NºAsuntos!I16/NºAsuntos!G16)-Datos!BE16)/Datos!BE16),((NºAsuntos!I16/NºAsuntos!G16)-Datos!BE16)/Datos!BE16," - ")</f>
        <v>-0.11698051086946583</v>
      </c>
      <c r="J16" s="477">
        <f>IF(ISNUMBER((('Resol  Asuntos'!D16/NºAsuntos!G16)-Datos!BF16)/Datos!BF16),(('Resol  Asuntos'!D16/NºAsuntos!G16)-Datos!BF16)/Datos!BF16," - ")</f>
        <v>0.11397864922181079</v>
      </c>
      <c r="K16" s="478">
        <f>IF(ISNUMBER((((NºAsuntos!C16+NºAsuntos!E16)/NºAsuntos!G16)-Datos!BG16)/Datos!BG16),(((NºAsuntos!C16+NºAsuntos!E16)/NºAsuntos!G16)-Datos!BG16)/Datos!BG16," - ")</f>
        <v>-7.3675924237042376E-2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-0.1206896551724138</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-0.97727272727272729</v>
      </c>
      <c r="E17" s="472">
        <f>IF(ISNUMBER(
   IF(D_I="SI",(Datos!L17-Datos!V17)/Datos!V17,(Datos!L17+Datos!AF17-(Datos!V17+Datos!AN17))/(Datos!V17+Datos!AN17))
     ),IF(D_I="SI",(Datos!L17-Datos!V17)/Datos!V17,(Datos!L17+Datos!AF17-(Datos!V17+Datos!AN17))/(Datos!V17+Datos!AN17))," - ")</f>
        <v>-0.29577464788732394</v>
      </c>
      <c r="F17" s="472">
        <f>IF(ISNUMBER((Datos!M17-Datos!W17)/Datos!W17),(Datos!M17-Datos!W17)/Datos!W17," - ")</f>
        <v>-1</v>
      </c>
      <c r="G17" s="473">
        <f>IF(ISNUMBER((Datos!N17-Datos!X17)/Datos!X17),(Datos!N17-Datos!X17)/Datos!X17," - ")</f>
        <v>-0.96</v>
      </c>
      <c r="H17" s="471" t="str">
        <f>IF(ISNUMBER(((NºAsuntos!G17/NºAsuntos!E17)-Datos!BD17)/Datos!BD17),((NºAsuntos!G17/NºAsuntos!E17)-Datos!BD17)/Datos!BD17," - ")</f>
        <v xml:space="preserve"> - </v>
      </c>
      <c r="I17" s="472">
        <f>IF(ISNUMBER(((NºAsuntos!I17/NºAsuntos!G17)-Datos!BE17)/Datos!BE17),((NºAsuntos!I17/NºAsuntos!G17)-Datos!BE17)/Datos!BE17," - ")</f>
        <v>29.985915492957748</v>
      </c>
      <c r="J17" s="477">
        <f>IF(ISNUMBER((('Resol  Asuntos'!D17/NºAsuntos!G17)-Datos!BF17)/Datos!BF17),(('Resol  Asuntos'!D17/NºAsuntos!G17)-Datos!BF17)/Datos!BF17," - ")</f>
        <v>-1</v>
      </c>
      <c r="K17" s="478">
        <f>IF(ISNUMBER((((NºAsuntos!C17+NºAsuntos!E17)/NºAsuntos!G17)-Datos!BG17)/Datos!BG17),(((NºAsuntos!C17+NºAsuntos!E17)/NºAsuntos!G17)-Datos!BG17)/Datos!BG17," - ")</f>
        <v>18.513043478260869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-6.5082644628099179E-2</v>
      </c>
      <c r="C18" s="1001">
        <f>IF(ISNUMBER(
   IF(Criterios!B14="SI",(Datos!J18-Datos!T18)/Datos!T18,(Datos!J18+Datos!AD18-(Datos!T18+Datos!AL18))/(Datos!T18+Datos!AL18))
     ),IF(Criterios!B14="SI",(Datos!J18-Datos!T18)/Datos!T18,(Datos!J18+Datos!AD18-(Datos!T18+Datos!AL18))/(Datos!T18+Datos!AL18))," - ")</f>
        <v>1.0568031704095112E-2</v>
      </c>
      <c r="D18" s="1001">
        <f>IF(ISNUMBER(
   IF(Criterios!B14="SI",(Datos!K18-Datos!U18)/Datos!U18,(Datos!K18+Datos!AE18-(Datos!U18+Datos!AM18))/(Datos!U18+Datos!AM18))
     ),IF(Criterios!B14="SI",(Datos!K18-Datos!U18)/Datos!U18,(Datos!K18+Datos!AE18-(Datos!U18+Datos!AM18))/(Datos!U18+Datos!AM18))," - ")</f>
        <v>1.2500000000000001E-2</v>
      </c>
      <c r="E18" s="1001">
        <f>IF(ISNUMBER(
   IF(Criterios!B14="SI",(Datos!L18-Datos!V18)/Datos!V18,(Datos!L18+Datos!AF18-(Datos!V18+Datos!AN18))/(Datos!V18+Datos!AN18))
     ),IF(Criterios!B14="SI",(Datos!L18-Datos!V18)/Datos!V18,(Datos!L18+Datos!AF18-(Datos!V18+Datos!AN18))/(Datos!V18+Datos!AN18))," - ")</f>
        <v>-5.8064516129032261E-2</v>
      </c>
      <c r="F18" s="1002">
        <f>IF(ISNUMBER((Datos!M18-Datos!W18)/Datos!W18),(Datos!M18-Datos!W18)/Datos!W18," - ")</f>
        <v>0.10638297872340426</v>
      </c>
      <c r="G18" s="1003">
        <f>IF(ISNUMBER((Datos!N18-Datos!X18)/Datos!X18),(Datos!N18-Datos!X18)/Datos!X18," - ")</f>
        <v>2.2535211267605635E-2</v>
      </c>
      <c r="H18" s="1003">
        <f>IF(ISNUMBER(((NºAsuntos!G18/NºAsuntos!E18)-Datos!BD18)/Datos!BD18),((NºAsuntos!G18/NºAsuntos!E18)-Datos!BD18)/Datos!BD18," - ")</f>
        <v>1.9117647058822978E-3</v>
      </c>
      <c r="I18" s="1003">
        <f>IF(ISNUMBER(((NºAsuntos!I18/NºAsuntos!G18)-Datos!BE18)/Datos!BE18),((NºAsuntos!I18/NºAsuntos!G18)-Datos!BE18)/Datos!BE18," - ")</f>
        <v>-6.9693349263241791E-2</v>
      </c>
      <c r="J18" s="1003">
        <f>IF(ISNUMBER((('Resol  Asuntos'!D18/NºAsuntos!G18)-Datos!BF18)/Datos!BF18),(('Resol  Asuntos'!D18/NºAsuntos!G18)-Datos!BF18)/Datos!BF18," - ")</f>
        <v>9.2723929603362121E-2</v>
      </c>
      <c r="K18" s="1003">
        <f>IF(ISNUMBER((((NºAsuntos!C18+NºAsuntos!E18)/NºAsuntos!G18)-Datos!BG18)/Datos!BG18),(((NºAsuntos!C18+NºAsuntos!E18)/NºAsuntos!G18)-Datos!BG18)/Datos!BG18," - ")</f>
        <v>-4.3836106638038962E-2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-8.9869281045751634E-2</v>
      </c>
      <c r="C19" s="948">
        <f>IF(ISNUMBER(
   IF(J_V="SI",(Datos!J19-Datos!T19)/Datos!T19,(Datos!J19+Datos!Z19-(Datos!T19+Datos!AH19))/(Datos!T19+Datos!AH19))
     ),IF(J_V="SI",(Datos!J19-Datos!T19)/Datos!T19,(Datos!J19+Datos!Z19-(Datos!T19+Datos!AH19))/(Datos!T19+Datos!AH19))," - ")</f>
        <v>0.1269732326698696</v>
      </c>
      <c r="D19" s="948">
        <f>IF(ISNUMBER(
   IF(J_V="SI",(Datos!K19-Datos!U19)/Datos!U19,(Datos!K19+Datos!AA19-(Datos!U19+Datos!AI19))/(Datos!U19+Datos!AI19))
     ),IF(J_V="SI",(Datos!K19-Datos!U19)/Datos!U19,(Datos!K19+Datos!AA19-(Datos!U19+Datos!AI19))/(Datos!U19+Datos!AI19))," - ")</f>
        <v>-5.6204379562043792E-2</v>
      </c>
      <c r="E19" s="948">
        <f>IF(ISNUMBER(
   IF(J_V="SI",(Datos!L19-Datos!V19)/Datos!V19,(Datos!L19+Datos!AB19-(Datos!V19+Datos!AJ19))/(Datos!V19+Datos!AJ19))
     ),IF(J_V="SI",(Datos!L19-Datos!V19)/Datos!V19,(Datos!L19+Datos!AB19-(Datos!V19+Datos!AJ19))/(Datos!V19+Datos!AJ19))," - ")</f>
        <v>1.6568047337278107E-2</v>
      </c>
      <c r="F19" s="949">
        <f>IF(ISNUMBER((Datos!M19-Datos!W19)/Datos!W19),(Datos!M19-Datos!W19)/Datos!W19," - ")</f>
        <v>9.3023255813953487E-3</v>
      </c>
      <c r="G19" s="950">
        <f>IF(ISNUMBER((Datos!N19-Datos!X19)/Datos!X19),(Datos!N19-Datos!X19)/Datos!X19," - ")</f>
        <v>7.1090047393364927E-2</v>
      </c>
      <c r="H19" s="951">
        <f>IF(ISNUMBER((Tasas!B19-Datos!BD19)/Datos!BD19),(Tasas!B19-Datos!BD19)/Datos!BD19," - ")</f>
        <v>-0.16253945251029095</v>
      </c>
      <c r="I19" s="952">
        <f>IF(ISNUMBER((Tasas!C19-Datos!BE19)/Datos!BE19),(Tasas!C19-Datos!BE19)/Datos!BE19," - ")</f>
        <v>7.7106129042591592E-2</v>
      </c>
      <c r="J19" s="953">
        <f>IF(ISNUMBER((Tasas!D19-Datos!BF19)/Datos!BF19),(Tasas!D19-Datos!BF19)/Datos!BF19," - ")</f>
        <v>-0.38192833204434129</v>
      </c>
      <c r="K19" s="953">
        <f>IF(ISNUMBER((Tasas!E19-Datos!BG19)/Datos!BG19),(Tasas!E19-Datos!BG19)/Datos!BG19," - ")</f>
        <v>5.0054811043014E-2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4VVRu1GFhTdlRApQ709myME751CV4BoFmGjcMaEisqVU2kq3Wbtsbsx8NgzOALUvYedOlR4Joiga24mlXDa+Q==" saltValue="wBQxdOM8tX9WMEIBlAR2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PICASSENT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1.3333333333333333</v>
      </c>
      <c r="D10" s="460">
        <f>IF(ISNUMBER('Resol  Asuntos'!D10/NºAsuntos!G10),'Resol  Asuntos'!D10/NºAsuntos!G10," - ")</f>
        <v>0</v>
      </c>
      <c r="E10" s="461">
        <f>IF(ISNUMBER((NºAsuntos!C10+NºAsuntos!E10)/NºAsuntos!G10),(NºAsuntos!C10+NºAsuntos!E10)/NºAsuntos!G10," - ")</f>
        <v>2.3333333333333335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0.73204104903078682</v>
      </c>
      <c r="C12" s="459">
        <f>IF(ISNUMBER(NºAsuntos!I12/NºAsuntos!G12),NºAsuntos!I12/NºAsuntos!G12," - ")</f>
        <v>2.4158878504672896</v>
      </c>
      <c r="D12" s="460">
        <f>IF(ISNUMBER('Resol  Asuntos'!D12/NºAsuntos!G12),'Resol  Asuntos'!D12/NºAsuntos!G12," - ")</f>
        <v>0.17601246105919002</v>
      </c>
      <c r="E12" s="461">
        <f>IF(ISNUMBER((NºAsuntos!C12+NºAsuntos!E12)/NºAsuntos!G12),(NºAsuntos!C12+NºAsuntos!E12)/NºAsuntos!G12," - ")</f>
        <v>3.4158878504672896</v>
      </c>
      <c r="G12" s="479"/>
    </row>
    <row r="13" spans="1:7" ht="14.25" thickTop="1" thickBot="1">
      <c r="A13" s="994" t="str">
        <f>Datos!A13</f>
        <v>TOTAL</v>
      </c>
      <c r="B13" s="1004">
        <f>IF(ISNUMBER(NºAsuntos!G13/NºAsuntos!E13),NºAsuntos!G13/NºAsuntos!E13," - ")</f>
        <v>0.73546180159635122</v>
      </c>
      <c r="C13" s="1005">
        <f>IF(ISNUMBER(NºAsuntos!I13/NºAsuntos!G13),NºAsuntos!I13/NºAsuntos!G13," - ")</f>
        <v>2.4108527131782944</v>
      </c>
      <c r="D13" s="1006">
        <f>IF(ISNUMBER('Resol  Asuntos'!D13/NºAsuntos!G13),'Resol  Asuntos'!D13/NºAsuntos!G13," - ")</f>
        <v>0.17519379844961241</v>
      </c>
      <c r="E13" s="1007">
        <f>IF(ISNUMBER((NºAsuntos!C13+NºAsuntos!E13)/NºAsuntos!G13),(NºAsuntos!C13+NºAsuntos!E13)/NºAsuntos!G13," - ")</f>
        <v>3.4108527131782944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0.8457516339869281</v>
      </c>
      <c r="C16" s="459">
        <f>IF(ISNUMBER(NºAsuntos!I16/NºAsuntos!G16),NºAsuntos!I16/NºAsuntos!G16," - ")</f>
        <v>1.5023183925811436</v>
      </c>
      <c r="D16" s="460">
        <f>IF(ISNUMBER('Resol  Asuntos'!D16/NºAsuntos!G16),'Resol  Asuntos'!D16/NºAsuntos!G16," - ")</f>
        <v>0.160741885625966</v>
      </c>
      <c r="E16" s="461">
        <f>IF(ISNUMBER((NºAsuntos!C16+NºAsuntos!E16)/NºAsuntos!G16),(NºAsuntos!C16+NºAsuntos!E16)/NºAsuntos!G16," - ")</f>
        <v>2.5023183925811439</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50</v>
      </c>
      <c r="D17" s="460">
        <f>IF(ISNUMBER('Resol  Asuntos'!D17/NºAsuntos!G17),'Resol  Asuntos'!D17/NºAsuntos!G17," - ")</f>
        <v>0</v>
      </c>
      <c r="E17" s="461">
        <f>IF(ISNUMBER((NºAsuntos!C17+NºAsuntos!E17)/NºAsuntos!G17),(NºAsuntos!C17+NºAsuntos!E17)/NºAsuntos!G17," - ")</f>
        <v>51</v>
      </c>
      <c r="G17" s="479"/>
    </row>
    <row r="18" spans="1:7" ht="14.25" thickTop="1" thickBot="1">
      <c r="A18" s="994" t="str">
        <f>Datos!A18</f>
        <v>TOTAL</v>
      </c>
      <c r="B18" s="1004">
        <f>IF(ISNUMBER(NºAsuntos!G18/NºAsuntos!E18),NºAsuntos!G18/NºAsuntos!E18," - ")</f>
        <v>0.84705882352941175</v>
      </c>
      <c r="C18" s="1005">
        <f>IF(ISNUMBER(NºAsuntos!I18/NºAsuntos!G18),NºAsuntos!I18/NºAsuntos!G18," - ")</f>
        <v>1.5771604938271604</v>
      </c>
      <c r="D18" s="1008">
        <f>IF(ISNUMBER('Resol  Asuntos'!D18/NºAsuntos!G18),'Resol  Asuntos'!D18/NºAsuntos!G18," - ")</f>
        <v>0.16049382716049382</v>
      </c>
      <c r="E18" s="1007">
        <f>IF(ISNUMBER((NºAsuntos!C18+NºAsuntos!E18)/NºAsuntos!G18),(NºAsuntos!C18+NºAsuntos!E18)/NºAsuntos!G18," - ")</f>
        <v>2.5771604938271606</v>
      </c>
      <c r="G18" s="479"/>
    </row>
    <row r="19" spans="1:7" ht="15.75" customHeight="1" thickTop="1" thickBot="1">
      <c r="A19" s="939" t="str">
        <f>Datos!A19</f>
        <v>TOTAL JURISDICCIONES</v>
      </c>
      <c r="B19" s="954">
        <f>IF(ISNUMBER(NºAsuntos!G19/NºAsuntos!E19),NºAsuntos!G19/NºAsuntos!E19," - ")</f>
        <v>0.78745432399512794</v>
      </c>
      <c r="C19" s="955">
        <f>IF(ISNUMBER(NºAsuntos!I19/NºAsuntos!G19),NºAsuntos!I19/NºAsuntos!G19," - ")</f>
        <v>1.9930394431554523</v>
      </c>
      <c r="D19" s="956">
        <f>IF(ISNUMBER('Resol  Asuntos'!D19/NºAsuntos!G19),'Resol  Asuntos'!D19/NºAsuntos!G19," - ")</f>
        <v>0.16782675947409126</v>
      </c>
      <c r="E19" s="957">
        <f>IF(ISNUMBER((NºAsuntos!C19+NºAsuntos!E19)/NºAsuntos!G19),(NºAsuntos!C19+NºAsuntos!E19)/NºAsuntos!G19," - ")</f>
        <v>2.9930394431554523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xzE2fBUKdbDKc4cRmN3BTlxzOJ6a+KiXeTrLfI/EZw0nxwpd4w3/4eUsSHfB4Wq43GCtNXdDMrWL5FSEmMFkA==" saltValue="Pbf5KuVwzTWthiHnVqjt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PICASSENT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4</v>
      </c>
      <c r="AB10" s="343">
        <f>IF(ISNUMBER(Datos!R10),Datos!R10," - ")</f>
        <v>1</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2.6666666666666665</v>
      </c>
      <c r="AN10" s="248">
        <f>IF(ISNUMBER('Resol  Asuntos'!D10/NºAsuntos!G10),'Resol  Asuntos'!D10/NºAsuntos!G10," - ")</f>
        <v>0</v>
      </c>
      <c r="AO10" s="249">
        <f>IF(ISNUMBER((NºAsuntos!C10+NºAsuntos!E10)/NºAsuntos!G10),(NºAsuntos!C10+NºAsuntos!E10)/NºAsuntos!G10," - ")</f>
        <v>2.3333333333333335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90</v>
      </c>
      <c r="Y12" s="343">
        <f t="shared" si="0"/>
        <v>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113</v>
      </c>
      <c r="AJ12" s="233" t="str">
        <f>IF(ISNUMBER(Datos!BW12),Datos!BW12," - ")</f>
        <v xml:space="preserve"> - </v>
      </c>
      <c r="AK12" s="232" t="str">
        <f>IF(ISNUMBER(Datos!BX12),Datos!BX12," - ")</f>
        <v xml:space="preserve"> - </v>
      </c>
      <c r="AL12" s="247">
        <f>IF(ISNUMBER(NºAsuntos!G12/NºAsuntos!E12),NºAsuntos!G12/NºAsuntos!E12," - ")</f>
        <v>0.73204104903078682</v>
      </c>
      <c r="AM12" s="264">
        <f>IF(ISNUMBER(((NºAsuntos!I12/NºAsuntos!G12)*11)/factor_trimestre),((NºAsuntos!I12/NºAsuntos!G12)*11)/factor_trimestre," - ")</f>
        <v>4.8317757009345792</v>
      </c>
      <c r="AN12" s="248">
        <f>IF(ISNUMBER('Resol  Asuntos'!D12/NºAsuntos!G12),'Resol  Asuntos'!D12/NºAsuntos!G12," - ")</f>
        <v>0.17601246105919002</v>
      </c>
      <c r="AO12" s="249">
        <f>IF(ISNUMBER((NºAsuntos!C12+NºAsuntos!E12)/NºAsuntos!G12),(NºAsuntos!C12+NºAsuntos!E12)/NºAsuntos!G12," - ")</f>
        <v>3.4158878504672896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7</v>
      </c>
      <c r="G13" s="1012">
        <f t="shared" si="3"/>
        <v>7</v>
      </c>
      <c r="H13" s="1011">
        <f t="shared" si="3"/>
        <v>0</v>
      </c>
      <c r="I13" s="1013">
        <f t="shared" si="3"/>
        <v>0</v>
      </c>
      <c r="J13" s="1013">
        <f t="shared" si="3"/>
        <v>0</v>
      </c>
      <c r="K13" s="1013">
        <f t="shared" si="3"/>
        <v>0</v>
      </c>
      <c r="L13" s="1013">
        <f t="shared" si="3"/>
        <v>156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90</v>
      </c>
      <c r="Y13" s="1014">
        <f t="shared" si="4"/>
        <v>93</v>
      </c>
      <c r="Z13" s="1014">
        <f t="shared" si="4"/>
        <v>0</v>
      </c>
      <c r="AA13" s="1014">
        <f t="shared" si="4"/>
        <v>4</v>
      </c>
      <c r="AB13" s="1014">
        <f t="shared" si="4"/>
        <v>3437</v>
      </c>
      <c r="AC13" s="1014">
        <f t="shared" si="4"/>
        <v>5</v>
      </c>
      <c r="AD13" s="1014">
        <f t="shared" si="4"/>
        <v>0</v>
      </c>
      <c r="AE13" s="1018">
        <f t="shared" si="4"/>
        <v>0</v>
      </c>
      <c r="AF13" s="1011">
        <f t="shared" si="4"/>
        <v>0</v>
      </c>
      <c r="AG13" s="1019">
        <f t="shared" si="4"/>
        <v>0</v>
      </c>
      <c r="AH13" s="1016">
        <f t="shared" si="4"/>
        <v>0</v>
      </c>
      <c r="AI13" s="1011">
        <f t="shared" si="4"/>
        <v>113</v>
      </c>
      <c r="AJ13" s="1013">
        <f t="shared" si="4"/>
        <v>0</v>
      </c>
      <c r="AK13" s="1016">
        <f>SUBTOTAL(9,AK9:AK12)</f>
        <v>0</v>
      </c>
      <c r="AL13" s="1020">
        <f>IF(ISNUMBER(NºAsuntos!G13/NºAsuntos!E13),NºAsuntos!G13/NºAsuntos!E13," - ")</f>
        <v>0.73546180159635122</v>
      </c>
      <c r="AM13" s="1020">
        <f>IF(ISNUMBER(((NºAsuntos!I13/NºAsuntos!G13)*11)/factor_trimestre),((NºAsuntos!I13/NºAsuntos!G13)*11)/factor_trimestre," - ")</f>
        <v>4.8217054263565888</v>
      </c>
      <c r="AN13" s="1021">
        <f>IF(ISNUMBER('Resol  Asuntos'!D13/NºAsuntos!G13),'Resol  Asuntos'!D13/NºAsuntos!G13," - ")</f>
        <v>0.17519379844961241</v>
      </c>
      <c r="AO13" s="1022">
        <f>IF(ISNUMBER((NºAsuntos!C13+NºAsuntos!E13)/NºAsuntos!G13),(NºAsuntos!C13+NºAsuntos!E13)/NºAsuntos!G13," - ")</f>
        <v>3.4108527131782944</v>
      </c>
      <c r="AP13" s="1023" t="str">
        <f t="shared" si="2"/>
        <v xml:space="preserve"> - </v>
      </c>
      <c r="AQ13" s="1023">
        <f>IF(ISNUMBER((H13-W13+K13)/(F13)),(H13-W13+K13)/(F13)," - ")</f>
        <v>-0.42857142857142855</v>
      </c>
      <c r="AR13" s="1024">
        <f>IF(ISNUMBER((Datos!P13-Datos!Q13)/(Datos!R13-Datos!P13+Datos!Q13)),(Datos!P13-Datos!Q13)/(Datos!R13-Datos!P13+Datos!Q13)," - ")</f>
        <v>1.9578760011865915E-2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854</v>
      </c>
      <c r="G16" s="342">
        <f>IF(ISNUMBER(IF(D_I="SI",Datos!I16,Datos!I16+Datos!AC16)),IF(D_I="SI",Datos!I16,Datos!I16+Datos!AC16)," - ")</f>
        <v>854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647</v>
      </c>
      <c r="X16" s="230">
        <f>IF(ISNUMBER(Datos!Q16),Datos!Q16," - ")</f>
        <v>16</v>
      </c>
      <c r="Y16" s="343">
        <f t="shared" ref="Y16:Y17" si="7">SUM(W16:X16)</f>
        <v>663</v>
      </c>
      <c r="Z16" s="344" t="str">
        <f>IF(ISNUMBER(Datos!CC16),Datos!CC16," - ")</f>
        <v xml:space="preserve"> - </v>
      </c>
      <c r="AA16" s="341">
        <f>IF(ISNUMBER(IF(D_I="SI",Datos!L16,Datos!L16+Datos!AF16)),IF(D_I="SI",Datos!L16,Datos!L16+Datos!AF16)," - ")</f>
        <v>972</v>
      </c>
      <c r="AB16" s="343">
        <f>IF(ISNUMBER(Datos!R16),Datos!R16," - ")</f>
        <v>241</v>
      </c>
      <c r="AC16" s="343">
        <f t="shared" si="6"/>
        <v>1213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104</v>
      </c>
      <c r="AJ16" s="235" t="str">
        <f>IF(ISNUMBER(Datos!BW16),Datos!BW16," - ")</f>
        <v xml:space="preserve"> - </v>
      </c>
      <c r="AK16" s="236" t="str">
        <f>IF(ISNUMBER(Datos!BX16),Datos!BX16," - ")</f>
        <v xml:space="preserve"> - </v>
      </c>
      <c r="AL16" s="247">
        <f>IF(ISNUMBER(NºAsuntos!G16/NºAsuntos!E16),NºAsuntos!G16/NºAsuntos!E16," - ")</f>
        <v>0.8457516339869281</v>
      </c>
      <c r="AM16" s="264">
        <f>IF(ISNUMBER(((NºAsuntos!I16/NºAsuntos!G16)*11)/factor_trimestre),((NºAsuntos!I16/NºAsuntos!G16)*11)/factor_trimestre," - ")</f>
        <v>3.0046367851622873</v>
      </c>
      <c r="AN16" s="248">
        <f>IF(ISNUMBER('Resol  Asuntos'!D16/NºAsuntos!G16),'Resol  Asuntos'!D16/NºAsuntos!G16," - ")</f>
        <v>0.160741885625966</v>
      </c>
      <c r="AO16" s="249">
        <f>IF(ISNUMBER((NºAsuntos!C16+NºAsuntos!E16)/NºAsuntos!G16),(NºAsuntos!C16+NºAsuntos!E16)/NºAsuntos!G16," - ")</f>
        <v>2.5023183925811439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50</v>
      </c>
      <c r="AB17" s="343">
        <f>IF(ISNUMBER(Datos!R17),Datos!R17," - ")</f>
        <v>0</v>
      </c>
      <c r="AC17" s="343">
        <f t="shared" si="6"/>
        <v>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100</v>
      </c>
      <c r="AN17" s="248">
        <f>IF(ISNUMBER('Resol  Asuntos'!D17/NºAsuntos!G17),'Resol  Asuntos'!D17/NºAsuntos!G17," - ")</f>
        <v>0</v>
      </c>
      <c r="AO17" s="249">
        <f>IF(ISNUMBER((NºAsuntos!C17+NºAsuntos!E17)/NºAsuntos!G17),(NºAsuntos!C17+NºAsuntos!E17)/NºAsuntos!G17," - ")</f>
        <v>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854</v>
      </c>
      <c r="G18" s="1012">
        <f>SUBTOTAL(9,G15:G17)</f>
        <v>905</v>
      </c>
      <c r="H18" s="1011">
        <f t="shared" ref="H18:O18" si="10">SUBTOTAL(9,H14:H17)</f>
        <v>0</v>
      </c>
      <c r="I18" s="1013">
        <f t="shared" si="10"/>
        <v>0</v>
      </c>
      <c r="J18" s="1013">
        <f t="shared" si="10"/>
        <v>0</v>
      </c>
      <c r="K18" s="1013">
        <f t="shared" si="10"/>
        <v>0</v>
      </c>
      <c r="L18" s="1013">
        <f t="shared" si="10"/>
        <v>71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648</v>
      </c>
      <c r="X18" s="1013">
        <f t="shared" si="11"/>
        <v>16</v>
      </c>
      <c r="Y18" s="1014">
        <f t="shared" si="11"/>
        <v>664</v>
      </c>
      <c r="Z18" s="1014">
        <f t="shared" si="11"/>
        <v>0</v>
      </c>
      <c r="AA18" s="1014">
        <f t="shared" si="11"/>
        <v>1022</v>
      </c>
      <c r="AB18" s="1014">
        <f t="shared" si="11"/>
        <v>241</v>
      </c>
      <c r="AC18" s="1014">
        <f t="shared" si="11"/>
        <v>1263</v>
      </c>
      <c r="AD18" s="1014">
        <f t="shared" si="11"/>
        <v>0</v>
      </c>
      <c r="AE18" s="1018">
        <f t="shared" si="11"/>
        <v>0</v>
      </c>
      <c r="AF18" s="1011">
        <f t="shared" si="11"/>
        <v>0</v>
      </c>
      <c r="AG18" s="1019">
        <f t="shared" si="11"/>
        <v>0</v>
      </c>
      <c r="AH18" s="1016">
        <f t="shared" si="11"/>
        <v>0</v>
      </c>
      <c r="AI18" s="1011">
        <f t="shared" si="11"/>
        <v>104</v>
      </c>
      <c r="AJ18" s="1013">
        <f t="shared" si="11"/>
        <v>0</v>
      </c>
      <c r="AK18" s="1016">
        <f t="shared" si="11"/>
        <v>0</v>
      </c>
      <c r="AL18" s="1020">
        <f>IF(ISNUMBER(NºAsuntos!G18/NºAsuntos!E18),NºAsuntos!G18/NºAsuntos!E18," - ")</f>
        <v>0.84705882352941175</v>
      </c>
      <c r="AM18" s="1020">
        <f>IF(ISNUMBER(((NºAsuntos!I18/NºAsuntos!G18)*11)/factor_trimestre),((NºAsuntos!I18/NºAsuntos!G18)*11)/factor_trimestre," - ")</f>
        <v>3.1543209876543212</v>
      </c>
      <c r="AN18" s="1021">
        <f>IF(ISNUMBER('Resol  Asuntos'!D18/NºAsuntos!G18),'Resol  Asuntos'!D18/NºAsuntos!G18," - ")</f>
        <v>0.16049382716049382</v>
      </c>
      <c r="AO18" s="1022">
        <f>IF(ISNUMBER((NºAsuntos!C18+NºAsuntos!E18)/NºAsuntos!G18),(NºAsuntos!C18+NºAsuntos!E18)/NºAsuntos!G18," - ")</f>
        <v>2.5771604938271606</v>
      </c>
      <c r="AP18" s="1023" t="str">
        <f t="shared" si="2"/>
        <v xml:space="preserve"> - </v>
      </c>
      <c r="AQ18" s="1023">
        <f>IF(ISNUMBER((H18-W18+K18)/(F18)),(H18-W18+K18)/(F18)," - ")</f>
        <v>-0.75878220140515218</v>
      </c>
      <c r="AR18" s="1024">
        <f>IF(ISNUMBER((Datos!P18-Datos!Q18)/(Datos!R18-Datos!P18+Datos!Q18)),(Datos!P18-Datos!Q18)/(Datos!R18-Datos!P18+Datos!Q18)," - ")</f>
        <v>0.29569892473118281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861</v>
      </c>
      <c r="G19" s="967">
        <f t="shared" si="13"/>
        <v>912</v>
      </c>
      <c r="H19" s="966">
        <f t="shared" si="13"/>
        <v>0</v>
      </c>
      <c r="I19" s="968">
        <f t="shared" si="13"/>
        <v>0</v>
      </c>
      <c r="J19" s="968">
        <f t="shared" si="13"/>
        <v>0</v>
      </c>
      <c r="K19" s="1027">
        <f t="shared" si="13"/>
        <v>0</v>
      </c>
      <c r="L19" s="968">
        <f t="shared" si="13"/>
        <v>227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651</v>
      </c>
      <c r="X19" s="967">
        <f t="shared" si="14"/>
        <v>106</v>
      </c>
      <c r="Y19" s="974">
        <f t="shared" si="14"/>
        <v>757</v>
      </c>
      <c r="Z19" s="974">
        <f t="shared" si="14"/>
        <v>0</v>
      </c>
      <c r="AA19" s="974">
        <f t="shared" si="14"/>
        <v>1026</v>
      </c>
      <c r="AB19" s="974">
        <f t="shared" si="14"/>
        <v>3678</v>
      </c>
      <c r="AC19" s="974">
        <f t="shared" si="14"/>
        <v>1268</v>
      </c>
      <c r="AD19" s="974">
        <f t="shared" si="14"/>
        <v>0</v>
      </c>
      <c r="AE19" s="976">
        <f t="shared" si="14"/>
        <v>0</v>
      </c>
      <c r="AF19" s="977">
        <f t="shared" si="14"/>
        <v>0</v>
      </c>
      <c r="AG19" s="978">
        <f t="shared" si="14"/>
        <v>0</v>
      </c>
      <c r="AH19" s="976">
        <f t="shared" si="14"/>
        <v>0</v>
      </c>
      <c r="AI19" s="966">
        <f t="shared" si="14"/>
        <v>217</v>
      </c>
      <c r="AJ19" s="966">
        <f t="shared" si="14"/>
        <v>0</v>
      </c>
      <c r="AK19" s="976">
        <f t="shared" si="14"/>
        <v>0</v>
      </c>
      <c r="AL19" s="1030">
        <f>IF(ISNUMBER(NºAsuntos!G19/NºAsuntos!E19),NºAsuntos!G19/NºAsuntos!E19," - ")</f>
        <v>0.78745432399512794</v>
      </c>
      <c r="AM19" s="1031">
        <f>IF(ISNUMBER(((NºAsuntos!I19/NºAsuntos!G19)*11)/factor_trimestre),((NºAsuntos!I19/NºAsuntos!G19)*11)/factor_trimestre," - ")</f>
        <v>3.9860788863109047</v>
      </c>
      <c r="AN19" s="1031">
        <f>IF(ISNUMBER('Resol  Asuntos'!D19/NºAsuntos!G19),'Resol  Asuntos'!D19/NºAsuntos!G19," - ")</f>
        <v>0.16782675947409126</v>
      </c>
      <c r="AO19" s="1032">
        <f>IF(ISNUMBER((NºAsuntos!C19+NºAsuntos!E19)/NºAsuntos!G19),(NºAsuntos!C19+NºAsuntos!E19)/NºAsuntos!G19," - ")</f>
        <v>2.9930394431554523</v>
      </c>
      <c r="AP19" s="1033" t="str">
        <f t="shared" si="2"/>
        <v xml:space="preserve"> - </v>
      </c>
      <c r="AQ19" s="1034">
        <f>IF(OR(ISNUMBER(FIND("01",Criterios!A8,1)),ISNUMBER(FIND("02",Criterios!A8,1)),ISNUMBER(FIND("03",Criterios!A8,1)),ISNUMBER(FIND("04",Criterios!A8,1))),(I19-W19+K19)/(F19-K19),(H19-W19+K19)/(F19-K19))</f>
        <v>-0.75609756097560976</v>
      </c>
      <c r="AR19" s="1035">
        <f>IF(ISNUMBER((Datos!P19-Datos!Q19)/(Datos!R19-Datos!P19+Datos!Q19)),(Datos!P19-Datos!Q19)/(Datos!R19-Datos!P19+Datos!Q19)," - ")</f>
        <v>3.4017430418892325E-2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489.015678003613</v>
      </c>
      <c r="G21" s="257">
        <f>IF(ISNUMBER(STDEV(G8:G18)),STDEV(G8:G18),"-")</f>
        <v>470.5435155222097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353.37345684134232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56.17354062783177</v>
      </c>
      <c r="AJ21" s="256">
        <f t="shared" si="18"/>
        <v>0</v>
      </c>
      <c r="AK21" s="258">
        <f t="shared" si="18"/>
        <v>0</v>
      </c>
      <c r="AL21" s="253">
        <f t="shared" si="18"/>
        <v>6.5057883398407026E-2</v>
      </c>
      <c r="AM21" s="254">
        <f t="shared" si="18"/>
        <v>39.327175975925954</v>
      </c>
      <c r="AN21" s="254">
        <f t="shared" si="18"/>
        <v>8.7070593731530463E-2</v>
      </c>
      <c r="AO21" s="255">
        <f t="shared" si="18"/>
        <v>19.663587987962977</v>
      </c>
      <c r="AP21" s="295" t="str">
        <f t="shared" si="18"/>
        <v>-</v>
      </c>
      <c r="AQ21" s="296">
        <f t="shared" si="18"/>
        <v>0.2334942766915763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lCJGYskWLYM3nZyaMuNgfvuaQoq8/fDNFO79Bicb9txhT1cFsNi0O9gqSeSN8f81r8TM360Q6kHRKNuSwVODA==" saltValue="xV7fyWPEalBFTh/ICdDr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PICASSENT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-1</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-6.6115702479338845E-2</v>
      </c>
      <c r="I12" s="359">
        <f>IF(ISNUMBER((Tasas!C12-Datos!BE12)/Datos!BE12),(Tasas!C12-Datos!BE12)/Datos!BE12," - ")</f>
        <v>0.2230222821367</v>
      </c>
      <c r="J12" s="358">
        <f>IF(ISNUMBER((Tasas!D12-Datos!BF12)/Datos!BF12),(Tasas!D12-Datos!BF12)/Datos!BF12," - ")</f>
        <v>-0.53780900513234275</v>
      </c>
      <c r="K12" s="360">
        <f>IF(ISNUMBER((Tasas!E12-Datos!BG12)/Datos!BG12),(Tasas!E12-Datos!BG12)/Datos!BG12," - ")</f>
        <v>0.14806543777215536</v>
      </c>
      <c r="M12" t="e">
        <f>IF(Monitorios="SI",Datos!CE12,0)</f>
        <v>#REF!</v>
      </c>
      <c r="N12" t="e">
        <f>IF(Monitorios="SI",Datos!CF12,0)</f>
        <v>#REF!</v>
      </c>
      <c r="O12" t="e">
        <f>IF(Monitorios="SI",Datos!CG12,0)</f>
        <v>#REF!</v>
      </c>
      <c r="P12" t="e">
        <f>IF(Monitorios="SI",Datos!CH12,0)</f>
        <v>#REF!</v>
      </c>
      <c r="Q12">
        <f>IF(J_V="SI",0,Datos!AG12)</f>
        <v>126</v>
      </c>
      <c r="R12">
        <f>IF(J_V="SI",0,Datos!AH12)</f>
        <v>79</v>
      </c>
      <c r="S12">
        <f>IF(J_V="SI",0,Datos!AI12)</f>
        <v>68</v>
      </c>
      <c r="T12">
        <f>IF(J_V="SI",0,Datos!AJ12)</f>
        <v>137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-6.6115702479338845E-2</v>
      </c>
      <c r="I13" s="366">
        <f>IF(ISNUMBER((Tasas!C13-Datos!BE13)/Datos!BE13),(Tasas!C13-Datos!BE13)/Datos!BE13," - ")</f>
        <v>0.21373964180700342</v>
      </c>
      <c r="J13" s="364">
        <f>IF(ISNUMBER((Tasas!D13-Datos!BF13)/Datos!BF13),(Tasas!D13-Datos!BF13)/Datos!BF13," - ")</f>
        <v>-0.53995873068986666</v>
      </c>
      <c r="K13" s="367">
        <f>IF(ISNUMBER((Tasas!E13-Datos!BG13)/Datos!BG13),(Tasas!E13-Datos!BG13)/Datos!BG13," - ")</f>
        <v>0.14216627551383254</v>
      </c>
      <c r="M13" t="e">
        <f>IF(Monitorios="SI",Datos!CE13,0)</f>
        <v>#REF!</v>
      </c>
      <c r="N13" t="e">
        <f>IF(Monitorios="SI",Datos!CF13,0)</f>
        <v>#REF!</v>
      </c>
      <c r="O13" t="e">
        <f>IF(Monitorios="SI",Datos!CG13,0)</f>
        <v>#REF!</v>
      </c>
      <c r="P13" t="e">
        <f>IF(Monitorios="SI",Datos!CH13,0)</f>
        <v>#REF!</v>
      </c>
      <c r="Q13">
        <f>IF(J_V="SI",0,Datos!AG13)</f>
        <v>126</v>
      </c>
      <c r="R13">
        <f>IF(J_V="SI",0,Datos!AH13)</f>
        <v>79</v>
      </c>
      <c r="S13">
        <f>IF(J_V="SI",0,Datos!AI13)</f>
        <v>68</v>
      </c>
      <c r="T13">
        <f>IF(J_V="SI",0,Datos!AJ13)</f>
        <v>137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-6.1538461538461542E-2</v>
      </c>
      <c r="E16" s="357">
        <f>IF(ISNUMBER(
   IF(D_I="SI",(Datos!J16-Datos!T16)/Datos!T16,(Datos!J16+Datos!AD16-(Datos!T16+Datos!AL16))/(Datos!T16+Datos!AL16))
     ),IF(D_I="SI",(Datos!J16-Datos!T16)/Datos!T16,(Datos!J16+Datos!AD16-(Datos!T16+Datos!AL16))/(Datos!T16+Datos!AL16))," - ")</f>
        <v>9.285714285714286E-2</v>
      </c>
      <c r="F16" s="357">
        <f>IF(ISNUMBER(
   IF(D_I="SI",(Datos!K16-Datos!U16)/Datos!U16,(Datos!K16+Datos!AE16-(Datos!U16+Datos!AM16))/(Datos!U16+Datos!AM16))
     ),IF(D_I="SI",(Datos!K16-Datos!U16)/Datos!U16,(Datos!K16+Datos!AE16-(Datos!U16+Datos!AM16))/(Datos!U16+Datos!AM16))," - ")</f>
        <v>8.557046979865772E-2</v>
      </c>
      <c r="G16" s="358">
        <f>IF(ISNUMBER(
   IF(D_I="SI",(Datos!L16-Datos!V16)/Datos!V16,(Datos!L16+Datos!AF16-(Datos!V16+Datos!AN16))/(Datos!V16+Datos!AN16))
     ),IF(D_I="SI",(Datos!L16-Datos!V16)/Datos!V16,(Datos!L16+Datos!AF16-(Datos!V16+Datos!AN16))/(Datos!V16+Datos!AN16))," - ")</f>
        <v>-4.142011834319527E-2</v>
      </c>
      <c r="H16" s="234">
        <f>IF(ISNUMBER((Datos!M16-Datos!W16)/Datos!W16),(Datos!M16-Datos!W16)/Datos!W16," - ")</f>
        <v>0.20930232558139536</v>
      </c>
      <c r="I16" s="359">
        <f>IF(ISNUMBER((Tasas!C16-Datos!BE16)/Datos!BE16),(Tasas!C16-Datos!BE16)/Datos!BE16," - ")</f>
        <v>-0.11698051086946583</v>
      </c>
      <c r="J16" s="358">
        <f>IF(ISNUMBER((Tasas!D16-Datos!BF16)/Datos!BF16),(Tasas!D16-Datos!BF16)/Datos!BF16," - ")</f>
        <v>0.11397864922181079</v>
      </c>
      <c r="K16" s="360">
        <f>IF(ISNUMBER((Tasas!E16-Datos!BG16)/Datos!BG16),(Tasas!E16-Datos!BG16)/Datos!BG16," - ")</f>
        <v>-7.3675924237042376E-2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-0.1206896551724138</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-0.97727272727272729</v>
      </c>
      <c r="G17" s="358">
        <f>IF(ISNUMBER(
   IF(D_I="SI",(Datos!L17-Datos!V17)/Datos!V17,(Datos!L17+Datos!AF17-(Datos!V17+Datos!AN17))/(Datos!V17+Datos!AN17))
     ),IF(D_I="SI",(Datos!L17-Datos!V17)/Datos!V17,(Datos!L17+Datos!AF17-(Datos!V17+Datos!AN17))/(Datos!V17+Datos!AN17))," - ")</f>
        <v>-0.29577464788732394</v>
      </c>
      <c r="H17" s="234">
        <f>IF(ISNUMBER((Datos!M17-Datos!W17)/Datos!W17),(Datos!M17-Datos!W17)/Datos!W17," - ")</f>
        <v>-1</v>
      </c>
      <c r="I17" s="359">
        <f>IF(ISNUMBER((Tasas!C17-Datos!BE17)/Datos!BE17),(Tasas!C17-Datos!BE17)/Datos!BE17," - ")</f>
        <v>29.985915492957748</v>
      </c>
      <c r="J17" s="358">
        <f>IF(ISNUMBER((Tasas!D17-Datos!BF17)/Datos!BF17),(Tasas!D17-Datos!BF17)/Datos!BF17," - ")</f>
        <v>-1</v>
      </c>
      <c r="K17" s="360">
        <f>IF(ISNUMBER((Tasas!E17-Datos!BG17)/Datos!BG17),(Tasas!E17-Datos!BG17)/Datos!BG17," - ")</f>
        <v>18.513043478260869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-6.5082644628099179E-2</v>
      </c>
      <c r="E18" s="363">
        <f>IF(ISNUMBER(
   IF(D_I="SI",(Datos!J18-Datos!T18)/Datos!T18,(Datos!J18+Datos!AD18-(Datos!T18+Datos!AL18))/(Datos!T18+Datos!AL18))
     ),IF(D_I="SI",(Datos!J18-Datos!T18)/Datos!T18,(Datos!J18+Datos!AD18-(Datos!T18+Datos!AL18))/(Datos!T18+Datos!AL18))," - ")</f>
        <v>1.0568031704095112E-2</v>
      </c>
      <c r="F18" s="363">
        <f>IF(ISNUMBER(
   IF(D_I="SI",(Datos!K18-Datos!U18)/Datos!U18,(Datos!K18+Datos!AE18-(Datos!U18+Datos!AM18))/(Datos!U18+Datos!AM18))
     ),IF(D_I="SI",(Datos!K18-Datos!U18)/Datos!U18,(Datos!K18+Datos!AE18-(Datos!U18+Datos!AM18))/(Datos!U18+Datos!AM18))," - ")</f>
        <v>1.2500000000000001E-2</v>
      </c>
      <c r="G18" s="364">
        <f>IF(ISNUMBER(
   IF(D_I="SI",(Datos!L18-Datos!V18)/Datos!V18,(Datos!L18+Datos!AF18-(Datos!V18+Datos!AN18))/(Datos!V18+Datos!AN18))
     ),IF(D_I="SI",(Datos!L18-Datos!V18)/Datos!V18,(Datos!L18+Datos!AF18-(Datos!V18+Datos!AN18))/(Datos!V18+Datos!AN18))," - ")</f>
        <v>-5.8064516129032261E-2</v>
      </c>
      <c r="H18" s="365">
        <f>IF(ISNUMBER((Datos!M18-Datos!W18)/Datos!W18),(Datos!M18-Datos!W18)/Datos!W18," - ")</f>
        <v>0.10638297872340426</v>
      </c>
      <c r="I18" s="366">
        <f>IF(ISNUMBER((Tasas!C18-Datos!BE18)/Datos!BE18),(Tasas!C18-Datos!BE18)/Datos!BE18," - ")</f>
        <v>-6.9693349263241791E-2</v>
      </c>
      <c r="J18" s="364">
        <f>IF(ISNUMBER((Tasas!D18-Datos!BF18)/Datos!BF18),(Tasas!D18-Datos!BF18)/Datos!BF18," - ")</f>
        <v>9.2723929603362121E-2</v>
      </c>
      <c r="K18" s="367">
        <f>IF(ISNUMBER((Tasas!E18-Datos!BG18)/Datos!BG18),(Tasas!E18-Datos!BG18)/Datos!BG18," - ")</f>
        <v>-4.3836106638038962E-2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-8.9869281045751634E-2</v>
      </c>
      <c r="E19" s="372">
        <f>IF(ISNUMBER(
   IF(J_V="SI",(Datos!J19-Datos!T19)/Datos!T19,(Datos!J19+Datos!Z19-(Datos!T19+Datos!AH19))/(Datos!T19+Datos!AH19))
     ),IF(J_V="SI",(Datos!J19-Datos!T19)/Datos!T19,(Datos!J19+Datos!Z19-(Datos!T19+Datos!AH19))/(Datos!T19+Datos!AH19))," - ")</f>
        <v>0.1269732326698696</v>
      </c>
      <c r="F19" s="372">
        <f>IF(ISNUMBER(
   IF(J_V="SI",(Datos!K19-Datos!U19)/Datos!U19,(Datos!K19+Datos!AA19-(Datos!U19+Datos!AI19))/(Datos!U19+Datos!AI19))
     ),IF(J_V="SI",(Datos!K19-Datos!U19)/Datos!U19,(Datos!K19+Datos!AA19-(Datos!U19+Datos!AI19))/(Datos!U19+Datos!AI19))," - ")</f>
        <v>-5.6204379562043792E-2</v>
      </c>
      <c r="G19" s="373">
        <f>IF(ISNUMBER(
   IF(J_V="SI",(Datos!L19-Datos!V19)/Datos!V19,(Datos!L19+Datos!AB19-(Datos!V19+Datos!AJ19))/(Datos!V19+Datos!AJ19))
     ),IF(J_V="SI",(Datos!L19-Datos!V19)/Datos!V19,(Datos!L19+Datos!AB19-(Datos!V19+Datos!AJ19))/(Datos!V19+Datos!AJ19))," - ")</f>
        <v>1.6568047337278107E-2</v>
      </c>
      <c r="H19" s="374">
        <f>IF(ISNUMBER((Datos!M19-Datos!W19)/Datos!W19),(Datos!M19-Datos!W19)/Datos!W19," - ")</f>
        <v>9.3023255813953487E-3</v>
      </c>
      <c r="I19" s="371">
        <f>IF(ISNUMBER((Tasas!C19-Datos!BE19)/Datos!BE19),(Tasas!C19-Datos!BE19)/Datos!BE19," - ")</f>
        <v>7.7106129042591592E-2</v>
      </c>
      <c r="J19" s="372">
        <f>IF(ISNUMBER((Tasas!D19-Datos!BF19)/Datos!BF19),(Tasas!D19-Datos!BF19)/Datos!BF19," - ")</f>
        <v>-0.38192833204434129</v>
      </c>
      <c r="K19" s="373">
        <f>IF(ISNUMBER((Tasas!E19-Datos!BG19)/Datos!BG19),(Tasas!E19-Datos!BG19)/Datos!BG19," - ")</f>
        <v>5.0054811043014E-2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0.24273457715868954</v>
      </c>
      <c r="E21" s="282">
        <f t="shared" si="1"/>
        <v>0.60813515908655069</v>
      </c>
      <c r="F21" s="282">
        <f t="shared" si="1"/>
        <v>0.5936644684739032</v>
      </c>
      <c r="G21" s="283">
        <f t="shared" si="1"/>
        <v>0.21771346682202783</v>
      </c>
      <c r="H21" s="289">
        <f t="shared" si="1"/>
        <v>0.48231677012776236</v>
      </c>
      <c r="I21" s="281">
        <f t="shared" si="1"/>
        <v>13.383066828173963</v>
      </c>
      <c r="J21" s="282">
        <f t="shared" si="1"/>
        <v>0.47492258635052864</v>
      </c>
      <c r="K21" s="283">
        <f t="shared" si="1"/>
        <v>8.2606100594696876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nennm5ydVZ9PFzNRUTp03Qg7C1OLHkByagVpl670XWlXRYloY/diZUOauFM6CvDToPtKVJXmEHpdc/nYkRThw==" saltValue="V4AzdgBLH0eVRsuXpuke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